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ndlish/Documents/Endlish Work [122309-011521]/Writing/Books/Navigating Environmental Compliance/ENVHQ-NEC Downloads &amp; Links/"/>
    </mc:Choice>
  </mc:AlternateContent>
  <xr:revisionPtr revIDLastSave="0" documentId="13_ncr:1_{25C9FA9E-D0DF-D041-99C0-4DEE6B08A535}" xr6:coauthVersionLast="47" xr6:coauthVersionMax="47" xr10:uidLastSave="{00000000-0000-0000-0000-000000000000}"/>
  <bookViews>
    <workbookView xWindow="0" yWindow="500" windowWidth="40540" windowHeight="20760" tabRatio="1000" xr2:uid="{00000000-000D-0000-FFFF-FFFF00000000}"/>
  </bookViews>
  <sheets>
    <sheet name="Disclaimer" sheetId="27" r:id="rId1"/>
    <sheet name="PTE Summary" sheetId="9" r:id="rId2"/>
    <sheet name="EU Information" sheetId="25" r:id="rId3"/>
    <sheet name="Welding" sheetId="12" r:id="rId4"/>
    <sheet name="NG" sheetId="6" r:id="rId5"/>
    <sheet name="Diesel" sheetId="30" r:id="rId6"/>
    <sheet name="Refrigerant" sheetId="20" r:id="rId7"/>
    <sheet name="Unpaved Roadways &amp; Parking" sheetId="26" r:id="rId8"/>
    <sheet name="Paved Roadways &amp; Parking" sheetId="28" r:id="rId9"/>
    <sheet name="Storage Piles" sheetId="29" r:id="rId10"/>
    <sheet name="Coatings" sheetId="31" r:id="rId11"/>
    <sheet name="Processes" sheetId="32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3" i="9" l="1"/>
  <c r="C33" i="9"/>
  <c r="B33" i="9"/>
  <c r="D32" i="9"/>
  <c r="C32" i="9"/>
  <c r="D31" i="9"/>
  <c r="C31" i="9"/>
  <c r="D30" i="9"/>
  <c r="C30" i="9"/>
  <c r="D29" i="9"/>
  <c r="C29" i="9"/>
  <c r="B32" i="9"/>
  <c r="B31" i="9"/>
  <c r="B30" i="9"/>
  <c r="B29" i="9"/>
  <c r="K8" i="32"/>
  <c r="K7" i="32"/>
  <c r="K6" i="32"/>
  <c r="J8" i="32"/>
  <c r="H8" i="32"/>
  <c r="J7" i="32"/>
  <c r="J6" i="32"/>
  <c r="I9" i="32"/>
  <c r="H9" i="32"/>
  <c r="I8" i="32"/>
  <c r="H7" i="32"/>
  <c r="I7" i="32" s="1"/>
  <c r="H6" i="32"/>
  <c r="I6" i="32" s="1"/>
  <c r="J17" i="9"/>
  <c r="I17" i="9"/>
  <c r="H17" i="9"/>
  <c r="G17" i="9"/>
  <c r="F17" i="9"/>
  <c r="E17" i="9"/>
  <c r="C17" i="9"/>
  <c r="D17" i="9" s="1"/>
  <c r="B17" i="9"/>
  <c r="C39" i="30"/>
  <c r="T39" i="30"/>
  <c r="C38" i="30"/>
  <c r="U38" i="30"/>
  <c r="C37" i="30"/>
  <c r="C36" i="30"/>
  <c r="G35" i="30"/>
  <c r="U37" i="30"/>
  <c r="S36" i="30"/>
  <c r="J14" i="9"/>
  <c r="G14" i="9"/>
  <c r="F14" i="9"/>
  <c r="E14" i="9"/>
  <c r="C14" i="9"/>
  <c r="D14" i="9" s="1"/>
  <c r="B14" i="9"/>
  <c r="V16" i="6"/>
  <c r="I16" i="6"/>
  <c r="H16" i="6"/>
  <c r="G16" i="6"/>
  <c r="F16" i="6"/>
  <c r="E16" i="6"/>
  <c r="C13" i="30"/>
  <c r="D13" i="30" s="1"/>
  <c r="C12" i="30"/>
  <c r="D12" i="30" s="1"/>
  <c r="C11" i="30"/>
  <c r="C10" i="30"/>
  <c r="C9" i="30"/>
  <c r="D9" i="30" s="1"/>
  <c r="H78" i="30"/>
  <c r="G78" i="30"/>
  <c r="F78" i="30"/>
  <c r="E78" i="30"/>
  <c r="D78" i="30"/>
  <c r="H70" i="30"/>
  <c r="G70" i="30"/>
  <c r="F70" i="30"/>
  <c r="E70" i="30"/>
  <c r="D70" i="30"/>
  <c r="J62" i="30"/>
  <c r="I62" i="30"/>
  <c r="H62" i="30"/>
  <c r="G62" i="30"/>
  <c r="E62" i="30"/>
  <c r="D62" i="30"/>
  <c r="F59" i="30"/>
  <c r="F62" i="30" s="1"/>
  <c r="D11" i="30"/>
  <c r="D10" i="30"/>
  <c r="C8" i="30"/>
  <c r="D8" i="30" s="1"/>
  <c r="S38" i="30" l="1"/>
  <c r="R37" i="30"/>
  <c r="F37" i="30"/>
  <c r="J37" i="30"/>
  <c r="F38" i="30"/>
  <c r="F39" i="30"/>
  <c r="N37" i="30"/>
  <c r="K38" i="30"/>
  <c r="N39" i="30"/>
  <c r="K37" i="30"/>
  <c r="S37" i="30"/>
  <c r="G38" i="30"/>
  <c r="N38" i="30"/>
  <c r="I39" i="30"/>
  <c r="Q39" i="30"/>
  <c r="I38" i="30"/>
  <c r="O38" i="30"/>
  <c r="J39" i="30"/>
  <c r="R39" i="30"/>
  <c r="G37" i="30"/>
  <c r="O37" i="30"/>
  <c r="E38" i="30"/>
  <c r="J38" i="30"/>
  <c r="R38" i="30"/>
  <c r="E39" i="30"/>
  <c r="M39" i="30"/>
  <c r="U39" i="30"/>
  <c r="H36" i="30"/>
  <c r="H40" i="30" s="1"/>
  <c r="T36" i="30"/>
  <c r="E36" i="30"/>
  <c r="E40" i="30" s="1"/>
  <c r="I36" i="30"/>
  <c r="I40" i="30" s="1"/>
  <c r="M36" i="30"/>
  <c r="Q36" i="30"/>
  <c r="U36" i="30"/>
  <c r="H37" i="30"/>
  <c r="P37" i="30"/>
  <c r="T37" i="30"/>
  <c r="P36" i="30"/>
  <c r="F36" i="30"/>
  <c r="F40" i="30" s="1"/>
  <c r="J36" i="30"/>
  <c r="J40" i="30" s="1"/>
  <c r="N36" i="30"/>
  <c r="R36" i="30"/>
  <c r="E37" i="30"/>
  <c r="I37" i="30"/>
  <c r="M37" i="30"/>
  <c r="Q37" i="30"/>
  <c r="H38" i="30"/>
  <c r="P38" i="30"/>
  <c r="T38" i="30"/>
  <c r="G39" i="30"/>
  <c r="K39" i="30"/>
  <c r="O39" i="30"/>
  <c r="S39" i="30"/>
  <c r="G36" i="30"/>
  <c r="G40" i="30" s="1"/>
  <c r="K36" i="30"/>
  <c r="K40" i="30" s="1"/>
  <c r="O36" i="30"/>
  <c r="M38" i="30"/>
  <c r="Q38" i="30"/>
  <c r="H39" i="30"/>
  <c r="P39" i="30"/>
  <c r="H80" i="30"/>
  <c r="J27" i="9"/>
  <c r="I27" i="9"/>
  <c r="H27" i="9" s="1"/>
  <c r="I26" i="9"/>
  <c r="J26" i="9" s="1"/>
  <c r="B26" i="9"/>
  <c r="C26" i="9" s="1"/>
  <c r="G36" i="31"/>
  <c r="G35" i="31"/>
  <c r="G34" i="31"/>
  <c r="G33" i="31"/>
  <c r="F36" i="31"/>
  <c r="F35" i="31"/>
  <c r="F34" i="31"/>
  <c r="F33" i="31"/>
  <c r="L39" i="30" l="1"/>
  <c r="V39" i="30" s="1"/>
  <c r="L37" i="30"/>
  <c r="V37" i="30" s="1"/>
  <c r="L36" i="30"/>
  <c r="V36" i="30" s="1"/>
  <c r="V40" i="30" s="1"/>
  <c r="L38" i="30"/>
  <c r="V38" i="30" s="1"/>
  <c r="D26" i="9"/>
  <c r="F37" i="31"/>
  <c r="G37" i="31"/>
  <c r="H26" i="9"/>
  <c r="G24" i="31"/>
  <c r="G23" i="31"/>
  <c r="G22" i="31"/>
  <c r="G21" i="31"/>
  <c r="F21" i="31"/>
  <c r="G9" i="31"/>
  <c r="G8" i="31"/>
  <c r="G7" i="31"/>
  <c r="G6" i="31"/>
  <c r="F9" i="31"/>
  <c r="F8" i="31"/>
  <c r="F7" i="31"/>
  <c r="F6" i="31"/>
  <c r="F24" i="31"/>
  <c r="F23" i="31"/>
  <c r="F22" i="31"/>
  <c r="G25" i="31" l="1"/>
  <c r="F25" i="31"/>
  <c r="G10" i="31"/>
  <c r="F10" i="31"/>
  <c r="A30" i="28" l="1"/>
  <c r="A29" i="28"/>
  <c r="A28" i="28"/>
  <c r="A27" i="28"/>
  <c r="A26" i="28"/>
  <c r="A25" i="28"/>
  <c r="C24" i="9"/>
  <c r="D24" i="9" s="1"/>
  <c r="B24" i="9"/>
  <c r="L18" i="29"/>
  <c r="M18" i="29" s="1"/>
  <c r="L17" i="29"/>
  <c r="M17" i="29" s="1"/>
  <c r="L14" i="29"/>
  <c r="M14" i="29" s="1"/>
  <c r="L13" i="29"/>
  <c r="M13" i="29" s="1"/>
  <c r="L10" i="29"/>
  <c r="L9" i="29"/>
  <c r="K20" i="29"/>
  <c r="L20" i="29" s="1"/>
  <c r="K19" i="29"/>
  <c r="L19" i="29" s="1"/>
  <c r="M19" i="29" s="1"/>
  <c r="K18" i="29"/>
  <c r="K17" i="29"/>
  <c r="K16" i="29"/>
  <c r="L16" i="29" s="1"/>
  <c r="M16" i="29" s="1"/>
  <c r="K15" i="29"/>
  <c r="L15" i="29" s="1"/>
  <c r="M15" i="29" s="1"/>
  <c r="K14" i="29"/>
  <c r="K13" i="29"/>
  <c r="K12" i="29"/>
  <c r="L12" i="29" s="1"/>
  <c r="M12" i="29" s="1"/>
  <c r="K11" i="29"/>
  <c r="L11" i="29" s="1"/>
  <c r="M11" i="29" s="1"/>
  <c r="K10" i="29"/>
  <c r="K9" i="29"/>
  <c r="K8" i="29"/>
  <c r="L8" i="29" s="1"/>
  <c r="M8" i="29" s="1"/>
  <c r="I10" i="29"/>
  <c r="H20" i="29"/>
  <c r="I20" i="29" s="1"/>
  <c r="J20" i="29" s="1"/>
  <c r="H19" i="29"/>
  <c r="H18" i="29"/>
  <c r="I18" i="29" s="1"/>
  <c r="J18" i="29" s="1"/>
  <c r="H17" i="29"/>
  <c r="H16" i="29"/>
  <c r="I16" i="29" s="1"/>
  <c r="J16" i="29" s="1"/>
  <c r="H15" i="29"/>
  <c r="H14" i="29"/>
  <c r="I14" i="29" s="1"/>
  <c r="J14" i="29" s="1"/>
  <c r="H13" i="29"/>
  <c r="H12" i="29"/>
  <c r="I12" i="29" s="1"/>
  <c r="J12" i="29" s="1"/>
  <c r="H11" i="29"/>
  <c r="I11" i="29" s="1"/>
  <c r="J11" i="29" s="1"/>
  <c r="H10" i="29"/>
  <c r="H9" i="29"/>
  <c r="I9" i="29" s="1"/>
  <c r="J9" i="29" s="1"/>
  <c r="H8" i="29"/>
  <c r="M10" i="29"/>
  <c r="M9" i="29"/>
  <c r="I8" i="29"/>
  <c r="J8" i="29" s="1"/>
  <c r="K31" i="28"/>
  <c r="K30" i="28"/>
  <c r="K29" i="28"/>
  <c r="K28" i="28"/>
  <c r="K27" i="28"/>
  <c r="K26" i="28"/>
  <c r="K25" i="28"/>
  <c r="H30" i="28"/>
  <c r="G30" i="28"/>
  <c r="E30" i="28"/>
  <c r="H29" i="28"/>
  <c r="G29" i="28"/>
  <c r="E29" i="28"/>
  <c r="H28" i="28"/>
  <c r="G28" i="28"/>
  <c r="E28" i="28"/>
  <c r="H27" i="28"/>
  <c r="G27" i="28"/>
  <c r="E27" i="28"/>
  <c r="H26" i="28"/>
  <c r="G26" i="28"/>
  <c r="E26" i="28"/>
  <c r="H25" i="28"/>
  <c r="G25" i="28"/>
  <c r="E25" i="28"/>
  <c r="P31" i="26"/>
  <c r="P30" i="26"/>
  <c r="P29" i="26"/>
  <c r="P28" i="26"/>
  <c r="P27" i="26"/>
  <c r="P26" i="26"/>
  <c r="P25" i="26"/>
  <c r="M30" i="26"/>
  <c r="M29" i="26"/>
  <c r="M28" i="26"/>
  <c r="M27" i="26"/>
  <c r="M26" i="26"/>
  <c r="M25" i="26"/>
  <c r="L30" i="26"/>
  <c r="L29" i="26"/>
  <c r="L28" i="26"/>
  <c r="L27" i="26"/>
  <c r="L26" i="26"/>
  <c r="L25" i="26"/>
  <c r="A30" i="26"/>
  <c r="A29" i="26"/>
  <c r="A28" i="26"/>
  <c r="A27" i="26"/>
  <c r="A26" i="26"/>
  <c r="A25" i="26"/>
  <c r="I30" i="26"/>
  <c r="I29" i="26"/>
  <c r="I28" i="26"/>
  <c r="I27" i="26"/>
  <c r="I26" i="26"/>
  <c r="I25" i="26"/>
  <c r="A24" i="26"/>
  <c r="J10" i="26"/>
  <c r="J11" i="26" s="1"/>
  <c r="H10" i="26"/>
  <c r="H25" i="26" s="1"/>
  <c r="G10" i="26"/>
  <c r="G25" i="26" s="1"/>
  <c r="J10" i="29" l="1"/>
  <c r="J19" i="29"/>
  <c r="I15" i="29"/>
  <c r="J15" i="29" s="1"/>
  <c r="I19" i="29"/>
  <c r="J17" i="29"/>
  <c r="I13" i="29"/>
  <c r="J13" i="29" s="1"/>
  <c r="I17" i="29"/>
  <c r="M20" i="29"/>
  <c r="J21" i="29"/>
  <c r="M21" i="29"/>
  <c r="L21" i="29"/>
  <c r="I21" i="29"/>
  <c r="K10" i="26"/>
  <c r="F11" i="28"/>
  <c r="D26" i="28"/>
  <c r="F26" i="28" s="1"/>
  <c r="I26" i="28" s="1"/>
  <c r="L26" i="28" s="1"/>
  <c r="D25" i="28"/>
  <c r="F25" i="28" s="1"/>
  <c r="I25" i="28" s="1"/>
  <c r="F10" i="28"/>
  <c r="J25" i="26"/>
  <c r="K25" i="26" s="1"/>
  <c r="O25" i="26" s="1"/>
  <c r="R25" i="26" s="1"/>
  <c r="N10" i="26"/>
  <c r="G11" i="26"/>
  <c r="J26" i="26"/>
  <c r="J12" i="26"/>
  <c r="H11" i="26"/>
  <c r="E31" i="12"/>
  <c r="J25" i="28" l="1"/>
  <c r="M25" i="28" s="1"/>
  <c r="L25" i="28"/>
  <c r="J26" i="28"/>
  <c r="M26" i="28" s="1"/>
  <c r="I23" i="29"/>
  <c r="I22" i="29"/>
  <c r="G12" i="26"/>
  <c r="G13" i="26" s="1"/>
  <c r="G28" i="26" s="1"/>
  <c r="K11" i="26"/>
  <c r="Q10" i="26"/>
  <c r="J10" i="28"/>
  <c r="M10" i="28" s="1"/>
  <c r="I10" i="28"/>
  <c r="J11" i="28"/>
  <c r="M11" i="28" s="1"/>
  <c r="I11" i="28"/>
  <c r="L11" i="28" s="1"/>
  <c r="D27" i="28"/>
  <c r="F27" i="28" s="1"/>
  <c r="J27" i="28" s="1"/>
  <c r="M27" i="28" s="1"/>
  <c r="F12" i="28"/>
  <c r="O10" i="26"/>
  <c r="R10" i="26" s="1"/>
  <c r="G26" i="26"/>
  <c r="N25" i="26"/>
  <c r="H26" i="26"/>
  <c r="H12" i="26"/>
  <c r="J13" i="26"/>
  <c r="J27" i="26"/>
  <c r="K16" i="12"/>
  <c r="A1" i="25"/>
  <c r="L10" i="28" l="1"/>
  <c r="K26" i="26"/>
  <c r="O26" i="26" s="1"/>
  <c r="R26" i="26" s="1"/>
  <c r="Q25" i="26"/>
  <c r="G14" i="26"/>
  <c r="G15" i="26" s="1"/>
  <c r="G27" i="26"/>
  <c r="K12" i="26"/>
  <c r="D28" i="28"/>
  <c r="F28" i="28" s="1"/>
  <c r="J28" i="28" s="1"/>
  <c r="M28" i="28" s="1"/>
  <c r="F13" i="28"/>
  <c r="J12" i="28"/>
  <c r="M12" i="28" s="1"/>
  <c r="I12" i="28"/>
  <c r="L12" i="28" s="1"/>
  <c r="I27" i="28"/>
  <c r="O11" i="26"/>
  <c r="R11" i="26" s="1"/>
  <c r="N11" i="26"/>
  <c r="H13" i="26"/>
  <c r="K13" i="26" s="1"/>
  <c r="H27" i="26"/>
  <c r="J28" i="26"/>
  <c r="J14" i="26"/>
  <c r="C14" i="6"/>
  <c r="C12" i="6"/>
  <c r="C10" i="6"/>
  <c r="C8" i="6"/>
  <c r="N26" i="26" l="1"/>
  <c r="Q26" i="26" s="1"/>
  <c r="L27" i="28"/>
  <c r="G29" i="26"/>
  <c r="Q11" i="26"/>
  <c r="K27" i="26"/>
  <c r="J13" i="28"/>
  <c r="M13" i="28" s="1"/>
  <c r="I13" i="28"/>
  <c r="L13" i="28" s="1"/>
  <c r="F14" i="28"/>
  <c r="D29" i="28"/>
  <c r="F29" i="28" s="1"/>
  <c r="J29" i="28" s="1"/>
  <c r="M29" i="28" s="1"/>
  <c r="I28" i="28"/>
  <c r="L28" i="28" s="1"/>
  <c r="O12" i="26"/>
  <c r="R12" i="26" s="1"/>
  <c r="N12" i="26"/>
  <c r="Q12" i="26" s="1"/>
  <c r="G30" i="26"/>
  <c r="J29" i="26"/>
  <c r="J15" i="26"/>
  <c r="H14" i="26"/>
  <c r="K14" i="26" s="1"/>
  <c r="H28" i="26"/>
  <c r="K28" i="26" s="1"/>
  <c r="O28" i="26" s="1"/>
  <c r="R28" i="26" s="1"/>
  <c r="F15" i="12"/>
  <c r="G15" i="12" s="1"/>
  <c r="B12" i="9" s="1"/>
  <c r="D12" i="9" s="1"/>
  <c r="N27" i="26" l="1"/>
  <c r="O27" i="26"/>
  <c r="R27" i="26" s="1"/>
  <c r="J14" i="28"/>
  <c r="M14" i="28" s="1"/>
  <c r="I14" i="28"/>
  <c r="F15" i="28"/>
  <c r="D30" i="28"/>
  <c r="F30" i="28" s="1"/>
  <c r="J30" i="28" s="1"/>
  <c r="M30" i="28" s="1"/>
  <c r="I29" i="28"/>
  <c r="J30" i="26"/>
  <c r="H29" i="26"/>
  <c r="K29" i="26" s="1"/>
  <c r="O29" i="26" s="1"/>
  <c r="R29" i="26" s="1"/>
  <c r="H15" i="26"/>
  <c r="K15" i="26" s="1"/>
  <c r="N13" i="26"/>
  <c r="Q13" i="26" s="1"/>
  <c r="O13" i="26"/>
  <c r="R13" i="26" s="1"/>
  <c r="N28" i="26"/>
  <c r="Q28" i="26" s="1"/>
  <c r="J15" i="12"/>
  <c r="H15" i="12"/>
  <c r="M9" i="20"/>
  <c r="M8" i="20"/>
  <c r="L14" i="28" l="1"/>
  <c r="L29" i="28"/>
  <c r="Q27" i="26"/>
  <c r="I30" i="28"/>
  <c r="L30" i="28" s="1"/>
  <c r="J15" i="28"/>
  <c r="M15" i="28" s="1"/>
  <c r="I15" i="28"/>
  <c r="L15" i="28" s="1"/>
  <c r="N29" i="26"/>
  <c r="Q29" i="26" s="1"/>
  <c r="N14" i="26"/>
  <c r="Q14" i="26" s="1"/>
  <c r="O14" i="26"/>
  <c r="R14" i="26" s="1"/>
  <c r="H30" i="26"/>
  <c r="K30" i="26" s="1"/>
  <c r="O30" i="26" s="1"/>
  <c r="R30" i="26" s="1"/>
  <c r="H14" i="6"/>
  <c r="E12" i="6"/>
  <c r="E13" i="6" s="1"/>
  <c r="G10" i="6"/>
  <c r="G11" i="6" s="1"/>
  <c r="F8" i="6"/>
  <c r="F9" i="6" s="1"/>
  <c r="H15" i="6" l="1"/>
  <c r="I31" i="28"/>
  <c r="C22" i="9" s="1"/>
  <c r="D22" i="9" s="1"/>
  <c r="L31" i="28"/>
  <c r="I16" i="28"/>
  <c r="B22" i="9" s="1"/>
  <c r="L16" i="28"/>
  <c r="O15" i="26"/>
  <c r="R15" i="26" s="1"/>
  <c r="N15" i="26"/>
  <c r="Q15" i="26" s="1"/>
  <c r="Q16" i="26" s="1"/>
  <c r="N30" i="26"/>
  <c r="Q30" i="26" s="1"/>
  <c r="Q31" i="26" s="1"/>
  <c r="E14" i="6"/>
  <c r="T10" i="6"/>
  <c r="T11" i="6" s="1"/>
  <c r="R10" i="6"/>
  <c r="R11" i="6" s="1"/>
  <c r="P10" i="6"/>
  <c r="P11" i="6" s="1"/>
  <c r="N10" i="6"/>
  <c r="N11" i="6" s="1"/>
  <c r="L10" i="6"/>
  <c r="L11" i="6" s="1"/>
  <c r="J10" i="6"/>
  <c r="J11" i="6" s="1"/>
  <c r="U10" i="6"/>
  <c r="U11" i="6" s="1"/>
  <c r="H10" i="6"/>
  <c r="H11" i="6" s="1"/>
  <c r="E10" i="6"/>
  <c r="E11" i="6" s="1"/>
  <c r="S10" i="6"/>
  <c r="S11" i="6" s="1"/>
  <c r="Q10" i="6"/>
  <c r="Q11" i="6" s="1"/>
  <c r="O10" i="6"/>
  <c r="O11" i="6" s="1"/>
  <c r="M10" i="6"/>
  <c r="M11" i="6" s="1"/>
  <c r="K10" i="6"/>
  <c r="K11" i="6" s="1"/>
  <c r="I10" i="6"/>
  <c r="I11" i="6" s="1"/>
  <c r="R12" i="6"/>
  <c r="R13" i="6" s="1"/>
  <c r="P12" i="6"/>
  <c r="P13" i="6" s="1"/>
  <c r="N12" i="6"/>
  <c r="N13" i="6" s="1"/>
  <c r="L12" i="6"/>
  <c r="L13" i="6" s="1"/>
  <c r="J12" i="6"/>
  <c r="J13" i="6" s="1"/>
  <c r="U12" i="6"/>
  <c r="U13" i="6" s="1"/>
  <c r="H12" i="6"/>
  <c r="H13" i="6" s="1"/>
  <c r="S12" i="6"/>
  <c r="S13" i="6" s="1"/>
  <c r="Q12" i="6"/>
  <c r="Q13" i="6" s="1"/>
  <c r="O12" i="6"/>
  <c r="O13" i="6" s="1"/>
  <c r="M12" i="6"/>
  <c r="M13" i="6" s="1"/>
  <c r="K12" i="6"/>
  <c r="K13" i="6" s="1"/>
  <c r="I12" i="6"/>
  <c r="I13" i="6" s="1"/>
  <c r="F12" i="6"/>
  <c r="F13" i="6" s="1"/>
  <c r="G12" i="6"/>
  <c r="G13" i="6" s="1"/>
  <c r="T12" i="6"/>
  <c r="T13" i="6" s="1"/>
  <c r="F10" i="6"/>
  <c r="F11" i="6" s="1"/>
  <c r="S8" i="6"/>
  <c r="Q8" i="6"/>
  <c r="O8" i="6"/>
  <c r="O9" i="6" s="1"/>
  <c r="M8" i="6"/>
  <c r="M9" i="6" s="1"/>
  <c r="K8" i="6"/>
  <c r="K9" i="6" s="1"/>
  <c r="T8" i="6"/>
  <c r="T9" i="6" s="1"/>
  <c r="I8" i="6"/>
  <c r="I9" i="6" s="1"/>
  <c r="G8" i="6"/>
  <c r="G9" i="6" s="1"/>
  <c r="R8" i="6"/>
  <c r="R9" i="6" s="1"/>
  <c r="P8" i="6"/>
  <c r="P9" i="6" s="1"/>
  <c r="N8" i="6"/>
  <c r="L8" i="6"/>
  <c r="J8" i="6"/>
  <c r="J9" i="6" s="1"/>
  <c r="U8" i="6"/>
  <c r="U9" i="6" s="1"/>
  <c r="H8" i="6"/>
  <c r="H9" i="6" s="1"/>
  <c r="U14" i="6"/>
  <c r="U15" i="6" s="1"/>
  <c r="S14" i="6"/>
  <c r="S15" i="6" s="1"/>
  <c r="Q14" i="6"/>
  <c r="Q15" i="6" s="1"/>
  <c r="O14" i="6"/>
  <c r="O15" i="6" s="1"/>
  <c r="M14" i="6"/>
  <c r="M15" i="6" s="1"/>
  <c r="K14" i="6"/>
  <c r="I14" i="6"/>
  <c r="T14" i="6"/>
  <c r="T15" i="6" s="1"/>
  <c r="G14" i="6"/>
  <c r="R14" i="6"/>
  <c r="R15" i="6" s="1"/>
  <c r="P14" i="6"/>
  <c r="P15" i="6" s="1"/>
  <c r="N14" i="6"/>
  <c r="N15" i="6" s="1"/>
  <c r="L14" i="6"/>
  <c r="L15" i="6" s="1"/>
  <c r="J14" i="6"/>
  <c r="E8" i="6"/>
  <c r="E9" i="6" s="1"/>
  <c r="F14" i="6"/>
  <c r="L9" i="6"/>
  <c r="J16" i="6" l="1"/>
  <c r="H14" i="9" s="1"/>
  <c r="G15" i="6"/>
  <c r="E15" i="6"/>
  <c r="I15" i="6"/>
  <c r="J15" i="6"/>
  <c r="K15" i="6"/>
  <c r="K16" i="6" s="1"/>
  <c r="I14" i="9" s="1"/>
  <c r="F15" i="6"/>
  <c r="N31" i="26"/>
  <c r="C21" i="9" s="1"/>
  <c r="D21" i="9" s="1"/>
  <c r="N16" i="26"/>
  <c r="B21" i="9" s="1"/>
  <c r="V15" i="6"/>
  <c r="V11" i="6"/>
  <c r="S9" i="6"/>
  <c r="N9" i="6"/>
  <c r="V14" i="6"/>
  <c r="Q9" i="6"/>
  <c r="V8" i="6"/>
  <c r="V10" i="6"/>
  <c r="V12" i="6"/>
  <c r="V13" i="6"/>
  <c r="V9" i="6" l="1"/>
  <c r="N8" i="20" l="1"/>
  <c r="O8" i="20" s="1"/>
  <c r="N9" i="20"/>
  <c r="O9" i="20" s="1"/>
  <c r="P9" i="20" s="1"/>
  <c r="F14" i="12"/>
  <c r="P8" i="20" l="1"/>
  <c r="P10" i="20" s="1"/>
  <c r="J19" i="9" s="1"/>
  <c r="O10" i="20"/>
  <c r="G14" i="12"/>
  <c r="F16" i="12"/>
  <c r="N10" i="20"/>
  <c r="H19" i="9" s="1"/>
  <c r="M10" i="20"/>
  <c r="H14" i="12"/>
  <c r="H16" i="12" s="1"/>
  <c r="G16" i="12" l="1"/>
  <c r="B39" i="12" s="1"/>
  <c r="B11" i="9"/>
  <c r="J14" i="12"/>
  <c r="J16" i="12" s="1"/>
  <c r="B40" i="12" s="1"/>
  <c r="I19" i="9"/>
  <c r="C12" i="9"/>
  <c r="C11" i="9" l="1"/>
  <c r="D11" i="9"/>
  <c r="B16" i="9" l="1"/>
  <c r="H14" i="30"/>
  <c r="H8" i="30"/>
  <c r="U12" i="30"/>
  <c r="P12" i="30"/>
  <c r="E33" i="9"/>
  <c r="E16" i="9"/>
  <c r="K14" i="30"/>
  <c r="K8" i="30"/>
  <c r="G33" i="9"/>
  <c r="G16" i="9"/>
  <c r="M14" i="30"/>
  <c r="M8" i="30"/>
  <c r="I33" i="9"/>
  <c r="I16" i="9"/>
  <c r="O14" i="30"/>
  <c r="O8" i="30"/>
  <c r="J33" i="9"/>
  <c r="J16" i="9"/>
  <c r="U14" i="30"/>
  <c r="U8" i="30"/>
  <c r="P8" i="30"/>
  <c r="D16" i="9"/>
  <c r="J14" i="30"/>
  <c r="J8" i="30"/>
  <c r="H33" i="9"/>
  <c r="N8" i="30"/>
  <c r="N14" i="30"/>
  <c r="H16" i="9"/>
  <c r="U13" i="30"/>
  <c r="P13" i="30"/>
  <c r="I8" i="30"/>
  <c r="I14" i="30"/>
  <c r="C16" i="9"/>
  <c r="L8" i="30"/>
  <c r="L14" i="30"/>
  <c r="F16" i="9"/>
  <c r="F33" i="9"/>
  <c r="L9" i="30"/>
  <c r="L13" i="30"/>
  <c r="L10" i="30"/>
  <c r="L11" i="30"/>
  <c r="L12" i="30"/>
  <c r="N12" i="30"/>
  <c r="N10" i="30"/>
  <c r="N9" i="30"/>
  <c r="N11" i="30"/>
  <c r="N13" i="30"/>
  <c r="O12" i="30"/>
  <c r="O9" i="30"/>
  <c r="O13" i="30"/>
  <c r="O11" i="30"/>
  <c r="O10" i="30"/>
  <c r="R12" i="30"/>
  <c r="R9" i="30"/>
  <c r="R13" i="30"/>
  <c r="R8" i="30"/>
  <c r="R11" i="30"/>
  <c r="R10" i="30"/>
  <c r="Q9" i="30"/>
  <c r="Q8" i="30"/>
  <c r="Q13" i="30"/>
  <c r="Q12" i="30"/>
  <c r="Q11" i="30"/>
  <c r="Q10" i="30"/>
  <c r="S12" i="30"/>
  <c r="S8" i="30"/>
  <c r="S13" i="30"/>
  <c r="S10" i="30"/>
  <c r="S11" i="30"/>
  <c r="S9" i="30"/>
  <c r="T8" i="30"/>
  <c r="T10" i="30"/>
  <c r="T12" i="30"/>
  <c r="T13" i="30"/>
  <c r="T11" i="30"/>
  <c r="T9" i="30"/>
  <c r="J13" i="30"/>
  <c r="J12" i="30"/>
  <c r="J9" i="30"/>
  <c r="J11" i="30"/>
  <c r="J10" i="30"/>
  <c r="I12" i="30"/>
  <c r="I10" i="30"/>
  <c r="I13" i="30"/>
  <c r="I11" i="30"/>
  <c r="I9" i="30"/>
  <c r="H9" i="30"/>
  <c r="H13" i="30"/>
  <c r="H10" i="30"/>
  <c r="H11" i="30"/>
  <c r="H12" i="30"/>
  <c r="U9" i="30"/>
  <c r="P9" i="30"/>
  <c r="U11" i="30"/>
  <c r="K10" i="30"/>
  <c r="K9" i="30"/>
  <c r="K13" i="30"/>
  <c r="K11" i="30"/>
  <c r="K12" i="30"/>
  <c r="M10" i="30"/>
  <c r="M13" i="30"/>
  <c r="M9" i="30"/>
  <c r="M11" i="30"/>
  <c r="M12" i="30"/>
  <c r="P11" i="30"/>
  <c r="P10" i="30"/>
  <c r="U10" i="30"/>
</calcChain>
</file>

<file path=xl/sharedStrings.xml><?xml version="1.0" encoding="utf-8"?>
<sst xmlns="http://schemas.openxmlformats.org/spreadsheetml/2006/main" count="880" uniqueCount="421">
  <si>
    <t>Electrode Type</t>
    <phoneticPr fontId="3" type="noConversion"/>
  </si>
  <si>
    <t>Group PE tons/year</t>
    <phoneticPr fontId="3" type="noConversion"/>
  </si>
  <si>
    <t>Max Refrigerant in System</t>
    <phoneticPr fontId="3" type="noConversion"/>
  </si>
  <si>
    <t>Estimated Loss</t>
    <phoneticPr fontId="3" type="noConversion"/>
  </si>
  <si>
    <t xml:space="preserve">The five highest organic and metal HAPs emission factors are provided above. </t>
    <phoneticPr fontId="3" type="noConversion"/>
  </si>
  <si>
    <t>Closed-Loop Refrigerant Systems</t>
    <phoneticPr fontId="3" type="noConversion"/>
  </si>
  <si>
    <t>(lbs)</t>
    <phoneticPr fontId="3" type="noConversion"/>
  </si>
  <si>
    <t>(tpy)</t>
    <phoneticPr fontId="3" type="noConversion"/>
  </si>
  <si>
    <t>Emissions</t>
    <phoneticPr fontId="3" type="noConversion"/>
  </si>
  <si>
    <t>(lbs/hr)</t>
    <phoneticPr fontId="3" type="noConversion"/>
  </si>
  <si>
    <t>(lb/1000 lbs)</t>
    <phoneticPr fontId="3" type="noConversion"/>
  </si>
  <si>
    <t>(tpy)</t>
    <phoneticPr fontId="3" type="noConversion"/>
  </si>
  <si>
    <t>(lbs/day)</t>
    <phoneticPr fontId="3" type="noConversion"/>
  </si>
  <si>
    <t>(%)</t>
    <phoneticPr fontId="3" type="noConversion"/>
  </si>
  <si>
    <t>Uncontrolled</t>
    <phoneticPr fontId="3" type="noConversion"/>
  </si>
  <si>
    <t>Welder Description</t>
    <phoneticPr fontId="3" type="noConversion"/>
  </si>
  <si>
    <t>Method</t>
    <phoneticPr fontId="3" type="noConversion"/>
  </si>
  <si>
    <t>(%)</t>
    <phoneticPr fontId="3" type="noConversion"/>
  </si>
  <si>
    <t>Individual PE lbs/day</t>
    <phoneticPr fontId="3" type="noConversion"/>
  </si>
  <si>
    <t>Group PE tons/yr</t>
    <phoneticPr fontId="3" type="noConversion"/>
  </si>
  <si>
    <t>Max Electrode</t>
    <phoneticPr fontId="3" type="noConversion"/>
  </si>
  <si>
    <t>PE</t>
    <phoneticPr fontId="3" type="noConversion"/>
  </si>
  <si>
    <t>Particulate</t>
    <phoneticPr fontId="3" type="noConversion"/>
  </si>
  <si>
    <t>Fume Collector</t>
    <phoneticPr fontId="3" type="noConversion"/>
  </si>
  <si>
    <t>Controlled</t>
    <phoneticPr fontId="3" type="noConversion"/>
  </si>
  <si>
    <t>Operation</t>
    <phoneticPr fontId="3" type="noConversion"/>
  </si>
  <si>
    <t>Electrode</t>
    <phoneticPr fontId="3" type="noConversion"/>
  </si>
  <si>
    <t>Usage</t>
    <phoneticPr fontId="3" type="noConversion"/>
  </si>
  <si>
    <t>Controlled</t>
    <phoneticPr fontId="3" type="noConversion"/>
  </si>
  <si>
    <t>(tpy)</t>
    <phoneticPr fontId="3" type="noConversion"/>
  </si>
  <si>
    <t>Summary of Requirements:</t>
    <phoneticPr fontId="3" type="noConversion"/>
  </si>
  <si>
    <t>Dichlorobenzene</t>
  </si>
  <si>
    <t>Group Total:</t>
    <phoneticPr fontId="3" type="noConversion"/>
  </si>
  <si>
    <t>Emission Factors are from AP 42, Chapter 1.4, Tables 1.4-1, 1.4-2, 1.4-3 [revised 7/1998]</t>
  </si>
  <si>
    <t>VOC</t>
  </si>
  <si>
    <t>Heat Input Capacity</t>
  </si>
  <si>
    <t>Method</t>
    <phoneticPr fontId="3" type="noConversion"/>
  </si>
  <si>
    <t>PE</t>
    <phoneticPr fontId="3" type="noConversion"/>
  </si>
  <si>
    <t>NOx</t>
    <phoneticPr fontId="3" type="noConversion"/>
  </si>
  <si>
    <t>CO</t>
    <phoneticPr fontId="3" type="noConversion"/>
  </si>
  <si>
    <t>VOC</t>
    <phoneticPr fontId="3" type="noConversion"/>
  </si>
  <si>
    <t>HAP</t>
    <phoneticPr fontId="3" type="noConversion"/>
  </si>
  <si>
    <t>Additional HAPs emission factors are available in AP-42, Chapter 1.4.</t>
  </si>
  <si>
    <t>Lead</t>
  </si>
  <si>
    <t>Cadmium</t>
  </si>
  <si>
    <t>Chromium</t>
  </si>
  <si>
    <t>Manganese</t>
  </si>
  <si>
    <t>Total:</t>
  </si>
  <si>
    <t>https://www3.epa.gov/ttncatc1/dir1/cs6ch1.pdf</t>
  </si>
  <si>
    <t>http://epa.ohio.gov/portals/27/engineer/racm/RACM_text_searchable.pdf</t>
  </si>
  <si>
    <t>Benzene</t>
  </si>
  <si>
    <t>Nickel</t>
  </si>
  <si>
    <t>Formaldehyde</t>
  </si>
  <si>
    <t>Hexane</t>
  </si>
  <si>
    <t>(lbs/day)</t>
  </si>
  <si>
    <t>(tpy)</t>
  </si>
  <si>
    <t>OC</t>
    <phoneticPr fontId="3" type="noConversion"/>
  </si>
  <si>
    <t>Toluene</t>
  </si>
  <si>
    <t>HAPs - Organics</t>
  </si>
  <si>
    <t>HAPs - Metals</t>
  </si>
  <si>
    <t>Stack or Exhaust ID #</t>
  </si>
  <si>
    <t>Heat Input (mmBtu/hr)</t>
  </si>
  <si>
    <t>Emissions Units</t>
  </si>
  <si>
    <t>Emissions Unit Description</t>
  </si>
  <si>
    <t>Stack Height Aboveground (ft)</t>
  </si>
  <si>
    <t>Stack Inside Diameter (ft)</t>
  </si>
  <si>
    <t>Air Contaminant Emissions</t>
  </si>
  <si>
    <t>Permit or Exemption Emission Limit</t>
  </si>
  <si>
    <t>If Monitoring Required, Describe/ Frequency</t>
  </si>
  <si>
    <t>None</t>
  </si>
  <si>
    <t>Possible Applicable Rules</t>
  </si>
  <si>
    <t>N/A</t>
  </si>
  <si>
    <r>
      <t>2</t>
    </r>
    <r>
      <rPr>
        <sz val="12"/>
        <color theme="1"/>
        <rFont val="Verdana"/>
        <family val="2"/>
      </rPr>
      <t>Per Ohio EPA guidance (various docs, 2 referenced below), baghouses 99-99.9% control.</t>
    </r>
  </si>
  <si>
    <t>Welding:</t>
  </si>
  <si>
    <t>Natural gas combustion:</t>
  </si>
  <si>
    <t>Total PTE</t>
  </si>
  <si>
    <t>Refrigerants:</t>
  </si>
  <si>
    <t>Emissions Control Device</t>
  </si>
  <si>
    <t>Closed-Loop System</t>
  </si>
  <si>
    <t>N/A - Indoors</t>
  </si>
  <si>
    <r>
      <t>PE, PM</t>
    </r>
    <r>
      <rPr>
        <vertAlign val="subscript"/>
        <sz val="12"/>
        <color theme="1"/>
        <rFont val="Verdana"/>
        <family val="2"/>
      </rPr>
      <t>10</t>
    </r>
    <r>
      <rPr>
        <sz val="12"/>
        <color theme="1"/>
        <rFont val="Verdana"/>
        <family val="2"/>
      </rPr>
      <t>, PM</t>
    </r>
    <r>
      <rPr>
        <vertAlign val="subscript"/>
        <sz val="12"/>
        <color theme="1"/>
        <rFont val="Verdana"/>
        <family val="2"/>
      </rPr>
      <t>2.5</t>
    </r>
  </si>
  <si>
    <t>OC/VOC/HAP</t>
  </si>
  <si>
    <r>
      <t>PE, PM</t>
    </r>
    <r>
      <rPr>
        <vertAlign val="subscript"/>
        <sz val="12"/>
        <color theme="1"/>
        <rFont val="Verdana"/>
        <family val="2"/>
      </rPr>
      <t>10</t>
    </r>
    <r>
      <rPr>
        <sz val="12"/>
        <color theme="1"/>
        <rFont val="Verdana"/>
        <family val="2"/>
      </rPr>
      <t>, PM</t>
    </r>
    <r>
      <rPr>
        <vertAlign val="subscript"/>
        <sz val="12"/>
        <color theme="1"/>
        <rFont val="Verdana"/>
        <family val="2"/>
      </rPr>
      <t>2.5</t>
    </r>
    <r>
      <rPr>
        <sz val="12"/>
        <color theme="1"/>
        <rFont val="Verdana"/>
        <family val="2"/>
      </rPr>
      <t>, SO</t>
    </r>
    <r>
      <rPr>
        <vertAlign val="subscript"/>
        <sz val="12"/>
        <color theme="1"/>
        <rFont val="Verdana"/>
        <family val="2"/>
      </rPr>
      <t>2</t>
    </r>
    <r>
      <rPr>
        <sz val="12"/>
        <color theme="1"/>
        <rFont val="Verdana"/>
        <family val="2"/>
      </rPr>
      <t>, NOx, CO, OC/VOC/HAP, GHG</t>
    </r>
  </si>
  <si>
    <t>Recordkeeping Required (yes/no)</t>
  </si>
  <si>
    <t>Pollutant Emission Factor (lb/mmcf)</t>
  </si>
  <si>
    <t>Total HAPs</t>
  </si>
  <si>
    <t>Units</t>
  </si>
  <si>
    <t>PM</t>
    <phoneticPr fontId="4" type="noConversion"/>
  </si>
  <si>
    <t>CO</t>
    <phoneticPr fontId="5" type="noConversion"/>
  </si>
  <si>
    <t>mmBtu/hr</t>
    <phoneticPr fontId="4" type="noConversion"/>
  </si>
  <si>
    <t>mmcf/hr</t>
    <phoneticPr fontId="4" type="noConversion"/>
  </si>
  <si>
    <t>lb/hr</t>
  </si>
  <si>
    <t>ton/yr</t>
  </si>
  <si>
    <t>EU ID</t>
  </si>
  <si>
    <t>Unit #</t>
  </si>
  <si>
    <t>Make</t>
  </si>
  <si>
    <t>Type</t>
  </si>
  <si>
    <t>Model #</t>
  </si>
  <si>
    <t>Serial #</t>
  </si>
  <si>
    <t>BTU</t>
  </si>
  <si>
    <t>In Plant Location</t>
  </si>
  <si>
    <t>Refrigerant</t>
  </si>
  <si>
    <t>Installation Date</t>
  </si>
  <si>
    <t xml:space="preserve">Closed-Loop Refrigerants </t>
  </si>
  <si>
    <t>Closed-Loop Refrigerants</t>
  </si>
  <si>
    <t>Emissions Control Device Air Flow Rate (cfm)</t>
  </si>
  <si>
    <t>Table 3: List of Welders</t>
  </si>
  <si>
    <t>MIG welders</t>
  </si>
  <si>
    <t>Table 4: Welders (Consumable Substrate)</t>
  </si>
  <si>
    <t>Weld wire</t>
  </si>
  <si>
    <t>Max Parts/Day</t>
  </si>
  <si>
    <t>Max Parts/Year</t>
  </si>
  <si>
    <t>Update this PTE workbook whenever emissions units are added or removed.</t>
  </si>
  <si>
    <r>
      <rPr>
        <u/>
        <sz val="12"/>
        <color theme="1"/>
        <rFont val="Verdana"/>
        <family val="2"/>
      </rPr>
      <t>Notes</t>
    </r>
    <r>
      <rPr>
        <sz val="12"/>
        <color theme="1"/>
        <rFont val="Verdana"/>
        <family val="2"/>
      </rPr>
      <t>:</t>
    </r>
  </si>
  <si>
    <r>
      <rPr>
        <u/>
        <sz val="12"/>
        <color theme="1"/>
        <rFont val="Verdana"/>
        <family val="2"/>
      </rPr>
      <t>Permitting requirements</t>
    </r>
    <r>
      <rPr>
        <sz val="12"/>
        <color theme="1"/>
        <rFont val="Verdana"/>
        <family val="2"/>
      </rPr>
      <t>:</t>
    </r>
  </si>
  <si>
    <r>
      <t>PM</t>
    </r>
    <r>
      <rPr>
        <vertAlign val="subscript"/>
        <sz val="12"/>
        <color theme="1"/>
        <rFont val="Verdana"/>
        <family val="2"/>
      </rPr>
      <t>10</t>
    </r>
  </si>
  <si>
    <r>
      <t>SO</t>
    </r>
    <r>
      <rPr>
        <vertAlign val="subscript"/>
        <sz val="12"/>
        <color theme="1"/>
        <rFont val="Verdana"/>
        <family val="2"/>
      </rPr>
      <t>2</t>
    </r>
  </si>
  <si>
    <t>-</t>
  </si>
  <si>
    <t>NOx</t>
  </si>
  <si>
    <t>[Company Name]</t>
  </si>
  <si>
    <t>[City, State]</t>
  </si>
  <si>
    <t>[Facility Name, Division, ID, etc.]</t>
  </si>
  <si>
    <t>[Date Created/Revised]</t>
  </si>
  <si>
    <t>Table 1: Facility PTE Summary</t>
  </si>
  <si>
    <r>
      <t>PM</t>
    </r>
    <r>
      <rPr>
        <vertAlign val="subscript"/>
        <sz val="12"/>
        <color theme="1"/>
        <rFont val="Calibri"/>
        <family val="2"/>
        <scheme val="minor"/>
      </rPr>
      <t>10</t>
    </r>
  </si>
  <si>
    <r>
      <t>PM</t>
    </r>
    <r>
      <rPr>
        <vertAlign val="subscript"/>
        <sz val="12"/>
        <color theme="1"/>
        <rFont val="Calibri"/>
        <family val="2"/>
        <scheme val="minor"/>
      </rPr>
      <t>2.5</t>
    </r>
  </si>
  <si>
    <r>
      <t>SO</t>
    </r>
    <r>
      <rPr>
        <vertAlign val="subscript"/>
        <sz val="12"/>
        <color theme="1"/>
        <rFont val="Calibri"/>
        <family val="2"/>
        <scheme val="minor"/>
      </rPr>
      <t>2</t>
    </r>
  </si>
  <si>
    <r>
      <rPr>
        <u/>
        <sz val="12"/>
        <color theme="1"/>
        <rFont val="Calibri"/>
        <family val="2"/>
        <scheme val="minor"/>
      </rPr>
      <t>Notes</t>
    </r>
    <r>
      <rPr>
        <sz val="12"/>
        <color theme="1"/>
        <rFont val="Calibri"/>
        <family val="2"/>
        <scheme val="minor"/>
      </rPr>
      <t xml:space="preserve">: </t>
    </r>
  </si>
  <si>
    <t>Welding Emissions:</t>
  </si>
  <si>
    <t>Table 2: Emissions Unit (EU) Information</t>
  </si>
  <si>
    <r>
      <t>Welder Description (</t>
    </r>
    <r>
      <rPr>
        <i/>
        <sz val="12"/>
        <color theme="1"/>
        <rFont val="Verdana"/>
        <family val="2"/>
      </rPr>
      <t>Location</t>
    </r>
    <r>
      <rPr>
        <sz val="12"/>
        <color theme="1"/>
        <rFont val="Verdana"/>
        <family val="2"/>
      </rPr>
      <t>)</t>
    </r>
  </si>
  <si>
    <t>Quantity</t>
  </si>
  <si>
    <t>Copper tip</t>
  </si>
  <si>
    <r>
      <t>HAP</t>
    </r>
    <r>
      <rPr>
        <vertAlign val="superscript"/>
        <sz val="12"/>
        <color theme="1"/>
        <rFont val="Verdana"/>
        <family val="2"/>
      </rPr>
      <t>3</t>
    </r>
  </si>
  <si>
    <r>
      <t>Factor</t>
    </r>
    <r>
      <rPr>
        <vertAlign val="superscript"/>
        <sz val="12"/>
        <color theme="1"/>
        <rFont val="Verdana"/>
        <family val="2"/>
      </rPr>
      <t>1</t>
    </r>
  </si>
  <si>
    <r>
      <t>Control Eff.</t>
    </r>
    <r>
      <rPr>
        <vertAlign val="superscript"/>
        <sz val="12"/>
        <color theme="1"/>
        <rFont val="Verdana"/>
        <family val="2"/>
      </rPr>
      <t>2</t>
    </r>
  </si>
  <si>
    <t>=J14*[% HAP]</t>
  </si>
  <si>
    <r>
      <rPr>
        <vertAlign val="superscript"/>
        <sz val="12"/>
        <color theme="1"/>
        <rFont val="Verdana"/>
        <family val="2"/>
      </rPr>
      <t>3</t>
    </r>
    <r>
      <rPr>
        <sz val="12"/>
        <color theme="1"/>
        <rFont val="Verdana"/>
        <family val="2"/>
      </rPr>
      <t>SDS for weld wire shows what metal HAPs are present--incorporate the % into the equation in cells K14 and K15 and remove the ' at the beginning.</t>
    </r>
  </si>
  <si>
    <t>Uncontrolled</t>
  </si>
  <si>
    <t>Controlled</t>
  </si>
  <si>
    <t>Laser welders</t>
  </si>
  <si>
    <t>Assess permit thresholds for PE, HAP, and any exemptions.</t>
  </si>
  <si>
    <r>
      <t>See Note</t>
    </r>
    <r>
      <rPr>
        <i/>
        <vertAlign val="superscript"/>
        <sz val="12"/>
        <color rgb="FFFF0000"/>
        <rFont val="Verdana"/>
        <family val="2"/>
      </rPr>
      <t>4</t>
    </r>
  </si>
  <si>
    <t>Total PTE (uncontrolled):</t>
  </si>
  <si>
    <t>Actual PE (controlled):</t>
  </si>
  <si>
    <r>
      <rPr>
        <vertAlign val="superscript"/>
        <sz val="12"/>
        <color theme="1"/>
        <rFont val="Verdana"/>
        <family val="2"/>
      </rPr>
      <t>4</t>
    </r>
    <r>
      <rPr>
        <sz val="12"/>
        <color theme="1"/>
        <rFont val="Verdana"/>
        <family val="2"/>
      </rPr>
      <t>There are no emissions from Cu tips; the emissions are fume (particulate) from the part. I have seen calculations from Pinchin Environmental Ltd for calculating the emissions from the part at each spot weld location but I cannot use it without permission. An option would be to assume that the emissions are negligible (0.1 lb/hr, 0.44 tpy) or calculate the total area of the part that is welded and assume that a small percent (say 0.01%) is emitted as fume. This would be backed up by your observations of the operation and the parts involved.</t>
    </r>
  </si>
  <si>
    <t>Natural Gas Combustion Emissions:</t>
  </si>
  <si>
    <t>Unit 1</t>
  </si>
  <si>
    <t>Unit 2</t>
  </si>
  <si>
    <t>Unit 3</t>
  </si>
  <si>
    <t>Unit 4</t>
  </si>
  <si>
    <t>Closed-loop refrigerants</t>
  </si>
  <si>
    <t>Determine if the welding operations that use consumable substrate are subject to NESHAP XXXXXX (GACT 6X).</t>
  </si>
  <si>
    <t>Assess permit thresholds for each pollutant and any exemptions.</t>
  </si>
  <si>
    <t>Add or remove groups based on your facility's operations.</t>
  </si>
  <si>
    <r>
      <t>1</t>
    </r>
    <r>
      <rPr>
        <sz val="12"/>
        <color theme="1"/>
        <rFont val="Verdana"/>
        <family val="2"/>
      </rPr>
      <t>From MSDSs at (enter url or location in facility file).</t>
    </r>
  </si>
  <si>
    <r>
      <t>2</t>
    </r>
    <r>
      <rPr>
        <sz val="12"/>
        <color theme="1"/>
        <rFont val="Verdana"/>
        <family val="2"/>
      </rPr>
      <t>Statement that there are no hazardous air pollutants (HAP) in these materials or that there are and complete columns O and P.</t>
    </r>
  </si>
  <si>
    <r>
      <t>VOC Content</t>
    </r>
    <r>
      <rPr>
        <vertAlign val="superscript"/>
        <sz val="12"/>
        <color theme="1"/>
        <rFont val="Verdana"/>
        <family val="2"/>
      </rPr>
      <t>1</t>
    </r>
  </si>
  <si>
    <r>
      <t>VOC</t>
    </r>
    <r>
      <rPr>
        <vertAlign val="superscript"/>
        <sz val="12"/>
        <color theme="1"/>
        <rFont val="Verdana"/>
        <family val="2"/>
      </rPr>
      <t xml:space="preserve"> </t>
    </r>
    <r>
      <rPr>
        <sz val="12"/>
        <color theme="1"/>
        <rFont val="Verdana"/>
        <family val="2"/>
      </rPr>
      <t>Emissions</t>
    </r>
  </si>
  <si>
    <r>
      <t>HAP</t>
    </r>
    <r>
      <rPr>
        <vertAlign val="superscript"/>
        <sz val="12"/>
        <color theme="1"/>
        <rFont val="Verdana"/>
        <family val="2"/>
      </rPr>
      <t xml:space="preserve">2 </t>
    </r>
    <r>
      <rPr>
        <sz val="12"/>
        <color theme="1"/>
        <rFont val="Verdana"/>
        <family val="2"/>
      </rPr>
      <t>Emissions</t>
    </r>
  </si>
  <si>
    <t>Determine if air permits are required.</t>
  </si>
  <si>
    <t>Laser welder 1</t>
  </si>
  <si>
    <t>Laser welder 2</t>
  </si>
  <si>
    <t>Laser welder 3</t>
  </si>
  <si>
    <t>Laser welder 4</t>
  </si>
  <si>
    <t>Laser welder 5</t>
  </si>
  <si>
    <t>MIG welder 1</t>
  </si>
  <si>
    <t>MIG welder 2</t>
  </si>
  <si>
    <t>MIG welder 3</t>
  </si>
  <si>
    <t>MIG welder 4</t>
  </si>
  <si>
    <t>MIG welder 5</t>
  </si>
  <si>
    <t>Laser Welders (Qty = ?)</t>
  </si>
  <si>
    <t>Mig Welders (Qty = ?)</t>
  </si>
  <si>
    <t>? mmBtu/hr natural gas-fired [heater, boiler, air makeup]</t>
  </si>
  <si>
    <r>
      <t>Assume all PE = PM</t>
    </r>
    <r>
      <rPr>
        <vertAlign val="subscript"/>
        <sz val="12"/>
        <color theme="1"/>
        <rFont val="Verdana"/>
        <family val="2"/>
      </rPr>
      <t>10</t>
    </r>
    <r>
      <rPr>
        <sz val="12"/>
        <color theme="1"/>
        <rFont val="Verdana"/>
        <family val="2"/>
      </rPr>
      <t xml:space="preserve"> = PM</t>
    </r>
    <r>
      <rPr>
        <vertAlign val="subscript"/>
        <sz val="12"/>
        <color theme="1"/>
        <rFont val="Verdana"/>
        <family val="2"/>
      </rPr>
      <t>2.5</t>
    </r>
  </si>
  <si>
    <t>Table 6: Summary</t>
  </si>
  <si>
    <t>Table 5: Copper Tip Welders (Nonconsumable Substrate)</t>
  </si>
  <si>
    <t>PM</t>
    <phoneticPr fontId="14" type="noConversion"/>
  </si>
  <si>
    <t xml:space="preserve"> </t>
  </si>
  <si>
    <t>EMISSION</t>
  </si>
  <si>
    <t>VEHICLE</t>
  </si>
  <si>
    <t>UNCONTROLLED</t>
  </si>
  <si>
    <t>CONTROL</t>
  </si>
  <si>
    <t>CONTROLLED</t>
  </si>
  <si>
    <t>EMISSIONS ESTIMATION PARAMETERS</t>
  </si>
  <si>
    <t>RATE</t>
  </si>
  <si>
    <t>MILES</t>
  </si>
  <si>
    <t>ANNUAL</t>
  </si>
  <si>
    <t>HOURLY</t>
  </si>
  <si>
    <t>EFFICIENCY</t>
  </si>
  <si>
    <t>k</t>
  </si>
  <si>
    <t>a</t>
  </si>
  <si>
    <t>b</t>
  </si>
  <si>
    <t>c</t>
  </si>
  <si>
    <t>s</t>
  </si>
  <si>
    <t>M</t>
  </si>
  <si>
    <t>W</t>
  </si>
  <si>
    <t>p</t>
  </si>
  <si>
    <t xml:space="preserve"> (#/VMT)</t>
  </si>
  <si>
    <t>TRAVELED</t>
  </si>
  <si>
    <t>EMISSIONS</t>
  </si>
  <si>
    <t xml:space="preserve"> (%)</t>
  </si>
  <si>
    <t>PER YEAR</t>
  </si>
  <si>
    <t>PER HOUR</t>
  </si>
  <si>
    <t xml:space="preserve"> (TONS/YR)</t>
  </si>
  <si>
    <t>(LB/HR)</t>
  </si>
  <si>
    <t>PROCESS TRUCKS</t>
  </si>
  <si>
    <t>PTE Unpaved</t>
  </si>
  <si>
    <t>n/a</t>
    <phoneticPr fontId="14" type="noConversion"/>
  </si>
  <si>
    <t>PTE Paved</t>
  </si>
  <si>
    <t>Where:</t>
  </si>
  <si>
    <t>E = Emission factor (lb/VMT)</t>
  </si>
  <si>
    <t>k, a, b, c = empirical constants</t>
  </si>
  <si>
    <t>s = surface material silt content (%)</t>
  </si>
  <si>
    <t>W = mean vehicle weight, tons</t>
  </si>
  <si>
    <t>p = number of days with are least 0.01 inches of precipitation</t>
  </si>
  <si>
    <t>M= surface material moisture content (%)</t>
  </si>
  <si>
    <t>Table 7: Emissions From Natural Gas Combustion</t>
  </si>
  <si>
    <t>Unpaved Roadways and Parking Areas</t>
  </si>
  <si>
    <t xml:space="preserve">     1.  Emission factors are derived using the equations and constants contained in AP-42, Section 13.2.2, 11/2006, as follows:</t>
  </si>
  <si>
    <t>Example Air Potential to Emit (PTE) Calculations</t>
  </si>
  <si>
    <t>Purpose:</t>
  </si>
  <si>
    <t>To provide a starting point in developing a facility's air emissions inventory.</t>
  </si>
  <si>
    <t>Disclaimer:</t>
  </si>
  <si>
    <t>These are example calculations. Please be sure to update the areas indicated</t>
  </si>
  <si>
    <t>with your facility's data, equipment, etc.</t>
  </si>
  <si>
    <t>Be sure to check the formula's, emission factors, and calculations to ensure</t>
  </si>
  <si>
    <t>that there are no errors and that infomration is current.</t>
  </si>
  <si>
    <t>Tammy L. Endlish and associated companies--Endlish Environmental &amp; Energy LLC</t>
  </si>
  <si>
    <t xml:space="preserve">and EnvironmentHQ are not claiming ownership of these calculations, are not </t>
  </si>
  <si>
    <t xml:space="preserve">offering any guaranteed outcome from the use of these calculations, and are not </t>
  </si>
  <si>
    <t>accepting any liability related to these calculations.</t>
  </si>
  <si>
    <t>sL</t>
  </si>
  <si>
    <t>W = mean vehicle weight, tons</t>
    <phoneticPr fontId="14" type="noConversion"/>
  </si>
  <si>
    <t xml:space="preserve">     1.  Emission factors are derived using the equations and constants contained in AP-42, Section 13.2.1, 1/2011, as follows:</t>
  </si>
  <si>
    <t>sL = road surface silt loading (8.2)</t>
  </si>
  <si>
    <r>
      <t>PM</t>
    </r>
    <r>
      <rPr>
        <b/>
        <vertAlign val="subscript"/>
        <sz val="12"/>
        <rFont val="Verdana"/>
        <family val="2"/>
      </rPr>
      <t>10</t>
    </r>
  </si>
  <si>
    <r>
      <t>E = k*(sL)</t>
    </r>
    <r>
      <rPr>
        <vertAlign val="superscript"/>
        <sz val="12"/>
        <rFont val="Verdana"/>
        <family val="2"/>
      </rPr>
      <t>0.91</t>
    </r>
    <r>
      <rPr>
        <sz val="12"/>
        <rFont val="Verdana"/>
        <family val="2"/>
      </rPr>
      <t>(W)</t>
    </r>
    <r>
      <rPr>
        <vertAlign val="superscript"/>
        <sz val="12"/>
        <rFont val="Verdana"/>
        <family val="2"/>
      </rPr>
      <t>1.02</t>
    </r>
  </si>
  <si>
    <r>
      <t>k = particle size multiplier (PM 0.011, PM</t>
    </r>
    <r>
      <rPr>
        <vertAlign val="subscript"/>
        <sz val="12"/>
        <rFont val="Verdana"/>
        <family val="2"/>
      </rPr>
      <t>10</t>
    </r>
    <r>
      <rPr>
        <sz val="12"/>
        <rFont val="Verdana"/>
        <family val="2"/>
      </rPr>
      <t xml:space="preserve"> 0.0022)</t>
    </r>
  </si>
  <si>
    <r>
      <t>E = k*(s/12)</t>
    </r>
    <r>
      <rPr>
        <vertAlign val="superscript"/>
        <sz val="12"/>
        <rFont val="Verdana"/>
        <family val="2"/>
      </rPr>
      <t>a</t>
    </r>
    <r>
      <rPr>
        <sz val="12"/>
        <rFont val="Verdana"/>
        <family val="2"/>
      </rPr>
      <t>(W/3)</t>
    </r>
    <r>
      <rPr>
        <vertAlign val="superscript"/>
        <sz val="12"/>
        <rFont val="Verdana"/>
        <family val="2"/>
      </rPr>
      <t>b</t>
    </r>
  </si>
  <si>
    <t>Unpaved Road or Parking Area</t>
  </si>
  <si>
    <t>Paved Road or Parking Area</t>
  </si>
  <si>
    <t xml:space="preserve"> EMISSIONS ESTIMATION PARAMETERS</t>
  </si>
  <si>
    <t>Formula</t>
  </si>
  <si>
    <t>Company input</t>
  </si>
  <si>
    <r>
      <t>1</t>
    </r>
    <r>
      <rPr>
        <sz val="12"/>
        <color theme="1"/>
        <rFont val="Verdana"/>
        <family val="2"/>
      </rPr>
      <t>Emission factor from AP-42 Table 12.19-1 (1/1995) based on type of electrode. Prepopulated with common one.</t>
    </r>
  </si>
  <si>
    <t>Roadways and parking areas:</t>
  </si>
  <si>
    <t>Paved</t>
  </si>
  <si>
    <t>Unpaved</t>
  </si>
  <si>
    <t>n/a</t>
  </si>
  <si>
    <t>Storage piles:</t>
  </si>
  <si>
    <t>Storage piles (tota)</t>
  </si>
  <si>
    <t>Pile</t>
  </si>
  <si>
    <t>Size</t>
  </si>
  <si>
    <t>Throughput</t>
  </si>
  <si>
    <t>Control</t>
  </si>
  <si>
    <t>Silt Content</t>
  </si>
  <si>
    <t>Moisture</t>
  </si>
  <si>
    <t>PE E.F.</t>
  </si>
  <si>
    <t>PE</t>
  </si>
  <si>
    <t>Method</t>
  </si>
  <si>
    <t>Efficiency</t>
  </si>
  <si>
    <t>Content</t>
  </si>
  <si>
    <t>Un/loading (#)</t>
  </si>
  <si>
    <t>Wind Erosion</t>
  </si>
  <si>
    <t>ACRES</t>
  </si>
  <si>
    <t>TPY</t>
  </si>
  <si>
    <t>%</t>
  </si>
  <si>
    <t>LB/TON</t>
  </si>
  <si>
    <t>LB/DAY/ACRE</t>
  </si>
  <si>
    <t>Subtotal</t>
  </si>
  <si>
    <t>Storage Piles</t>
  </si>
  <si>
    <r>
      <t>PM</t>
    </r>
    <r>
      <rPr>
        <vertAlign val="subscript"/>
        <sz val="12"/>
        <color indexed="8"/>
        <rFont val="Verdana"/>
        <family val="2"/>
      </rPr>
      <t>10</t>
    </r>
  </si>
  <si>
    <t>Total PTE PM</t>
  </si>
  <si>
    <r>
      <t>Total PTE PM</t>
    </r>
    <r>
      <rPr>
        <vertAlign val="subscript"/>
        <sz val="12"/>
        <color theme="1"/>
        <rFont val="Verdana"/>
        <family val="2"/>
      </rPr>
      <t>10</t>
    </r>
  </si>
  <si>
    <t>Notes:</t>
  </si>
  <si>
    <t>Wind erosion 80% control due to inherent moisture, per RACM.</t>
  </si>
  <si>
    <t>Pile loading and unloading (drop operation)</t>
  </si>
  <si>
    <t>Equation (1) AP-42 Table 13.2.4-3 (revised 1/1995):</t>
  </si>
  <si>
    <t>where:</t>
  </si>
  <si>
    <t>U= mean wind speed (9.5 mph - Toledo)</t>
  </si>
  <si>
    <t>M= material moisture content (varies by material stored)</t>
  </si>
  <si>
    <t>E= 1.7(s/1.5)[(365-p)/235](f/15); lb/day/acre</t>
  </si>
  <si>
    <t>s= silt content (varies by material stored)</t>
  </si>
  <si>
    <t>p= # of days with 0.01 inch or more of precipitation (120)</t>
  </si>
  <si>
    <t>f= % of time unobstructed wind speed exceeds 12 MPH at mean pile height (30)</t>
  </si>
  <si>
    <t>pile 1 (describe)</t>
  </si>
  <si>
    <t>pile 2 (describe)</t>
  </si>
  <si>
    <t>etc</t>
  </si>
  <si>
    <r>
      <t>PM</t>
    </r>
    <r>
      <rPr>
        <vertAlign val="subscript"/>
        <sz val="12"/>
        <color indexed="8"/>
        <rFont val="Verdana"/>
        <family val="2"/>
      </rPr>
      <t>10</t>
    </r>
    <r>
      <rPr>
        <sz val="12"/>
        <color indexed="8"/>
        <rFont val="Verdana"/>
        <family val="2"/>
      </rPr>
      <t xml:space="preserve"> is 50% of PM.</t>
    </r>
  </si>
  <si>
    <r>
      <t>E = k(0.0032)[(U/5)</t>
    </r>
    <r>
      <rPr>
        <vertAlign val="superscript"/>
        <sz val="12"/>
        <color indexed="8"/>
        <rFont val="Verdana"/>
        <family val="2"/>
      </rPr>
      <t>1.3</t>
    </r>
    <r>
      <rPr>
        <sz val="12"/>
        <color indexed="8"/>
        <rFont val="Verdana"/>
        <family val="2"/>
      </rPr>
      <t>/(M/2)</t>
    </r>
    <r>
      <rPr>
        <vertAlign val="superscript"/>
        <sz val="12"/>
        <color indexed="8"/>
        <rFont val="Verdana"/>
        <family val="2"/>
      </rPr>
      <t>1.4</t>
    </r>
    <r>
      <rPr>
        <sz val="12"/>
        <color indexed="8"/>
        <rFont val="Verdana"/>
        <family val="2"/>
      </rPr>
      <t>]; lb/ton processed</t>
    </r>
  </si>
  <si>
    <r>
      <t>k= 0.74 for PE and 0.35 for PM</t>
    </r>
    <r>
      <rPr>
        <vertAlign val="subscript"/>
        <sz val="12"/>
        <color indexed="8"/>
        <rFont val="Verdana"/>
        <family val="2"/>
      </rPr>
      <t>10</t>
    </r>
  </si>
  <si>
    <r>
      <t xml:space="preserve">Equation USEPA’s </t>
    </r>
    <r>
      <rPr>
        <u/>
        <sz val="12"/>
        <color indexed="8"/>
        <rFont val="Verdana"/>
        <family val="2"/>
      </rPr>
      <t>Control of Open Fugitive Dust Sources</t>
    </r>
    <r>
      <rPr>
        <sz val="12"/>
        <color indexed="8"/>
        <rFont val="Verdana"/>
        <family val="2"/>
      </rPr>
      <t xml:space="preserve"> (revised 9/1988):</t>
    </r>
  </si>
  <si>
    <t>Diesel fuel combustion:</t>
  </si>
  <si>
    <t>Paved Roads</t>
  </si>
  <si>
    <t>Material</t>
  </si>
  <si>
    <t>Max Usage (gal/hr)</t>
  </si>
  <si>
    <t>Max Usage (gal/yr)</t>
  </si>
  <si>
    <t>VOC Emissions (lbs/hr)</t>
  </si>
  <si>
    <t>VOC Emissions (tons/yr)</t>
  </si>
  <si>
    <t>TOTAL</t>
  </si>
  <si>
    <t>Coating Emissions</t>
  </si>
  <si>
    <t>VOC Content (lb VOC/gal)</t>
  </si>
  <si>
    <t>Coating 1</t>
  </si>
  <si>
    <t>Coating 2</t>
  </si>
  <si>
    <t>Coating 3</t>
  </si>
  <si>
    <t>Coating 4</t>
  </si>
  <si>
    <t>Coatings can include paint, adhesive, etc.</t>
  </si>
  <si>
    <t>Cleanup 1</t>
  </si>
  <si>
    <t>Cleanup 2</t>
  </si>
  <si>
    <t>Cleanup 3</t>
  </si>
  <si>
    <t>Cleanup 4</t>
  </si>
  <si>
    <t>Max Usage (gal/month)</t>
  </si>
  <si>
    <t>VOC Emissions (tons/month)</t>
  </si>
  <si>
    <t>Coating operations:</t>
  </si>
  <si>
    <t>Coating usage</t>
  </si>
  <si>
    <t>Cleanup usage</t>
  </si>
  <si>
    <t>If coating is spray applied, there will be particulate emissions too. See table 17.</t>
  </si>
  <si>
    <t>Assume particulate filters are used with 90% control and spray transfer efficiency is at least 65%.</t>
  </si>
  <si>
    <t>Solids Content (lbs solids/gal)</t>
  </si>
  <si>
    <t>Solids content can be found on the SDS (calculated as coating density lbs/gal x % solids, by weight).</t>
  </si>
  <si>
    <t>VOC content can be found on a VOC data sheet or SDS (calculated as coating density lbs/gal x % VOC, by weight).</t>
  </si>
  <si>
    <t>PM Emissions (lbs/hr)</t>
  </si>
  <si>
    <t>PM Emissions (tons/yr)</t>
  </si>
  <si>
    <t>Assume VOC = OC = HAPs unless you need to dig a little deeper.</t>
  </si>
  <si>
    <t>Capacity</t>
    <phoneticPr fontId="4" type="noConversion"/>
  </si>
  <si>
    <t>Fuel Throughput*</t>
  </si>
  <si>
    <t>Throughput</t>
    <phoneticPr fontId="4" type="noConversion"/>
  </si>
  <si>
    <t>Criteria Pollutants</t>
  </si>
  <si>
    <t>Total HAPs (tpy)</t>
  </si>
  <si>
    <t>PM</t>
  </si>
  <si>
    <t>CO</t>
  </si>
  <si>
    <t>OC</t>
  </si>
  <si>
    <t>Acetaldehyde</t>
  </si>
  <si>
    <t>Xylene</t>
  </si>
  <si>
    <t>hp</t>
    <phoneticPr fontId="4" type="noConversion"/>
  </si>
  <si>
    <t>kw</t>
    <phoneticPr fontId="4" type="noConversion"/>
  </si>
  <si>
    <t>mmBtu/hr</t>
  </si>
  <si>
    <t>gal/hr</t>
  </si>
  <si>
    <t>gal/yr</t>
  </si>
  <si>
    <t>lb/mmBtu</t>
  </si>
  <si>
    <t>tons/yr</t>
  </si>
  <si>
    <t>Sulfur content 0.0015% max (15 ppm).</t>
  </si>
  <si>
    <t>The five highest HAPs emission factors are provided above.</t>
  </si>
  <si>
    <t>Additional HAPs emission factors are available in AP-42, Chapter 3.3.</t>
  </si>
  <si>
    <t>Assume VOC = OC.</t>
  </si>
  <si>
    <t>Methodology</t>
  </si>
  <si>
    <t>Emission Factors are from AP 42, Chapter 3.3, Table 3.3-1 [revised 5/2010]</t>
  </si>
  <si>
    <t>1 kw = 1.341 hp and 3412.142 Btu/hr</t>
  </si>
  <si>
    <t>*Fuel throughput: http://www.hardydiesel.com/generator-fuel-consumption-calculator.html</t>
  </si>
  <si>
    <t>Assume &lt;500 hours/year (emergency)</t>
  </si>
  <si>
    <t>Diesel Combustion</t>
  </si>
  <si>
    <t>Table 9: Diesel Boiler (etc) Emissions</t>
  </si>
  <si>
    <t>Pollutant</t>
  </si>
  <si>
    <t>CO</t>
    <phoneticPr fontId="16" type="noConversion"/>
  </si>
  <si>
    <t>OC</t>
    <phoneticPr fontId="14" type="noConversion"/>
  </si>
  <si>
    <t>Potential Emission in tons/yr</t>
  </si>
  <si>
    <t>Napthalene</t>
    <phoneticPr fontId="14" type="noConversion"/>
  </si>
  <si>
    <t>Xylene</t>
    <phoneticPr fontId="14" type="noConversion"/>
  </si>
  <si>
    <t>Antimony</t>
    <phoneticPr fontId="14" type="noConversion"/>
  </si>
  <si>
    <t>Arsenic</t>
    <phoneticPr fontId="14" type="noConversion"/>
  </si>
  <si>
    <t>Lead</t>
    <phoneticPr fontId="14" type="noConversion"/>
  </si>
  <si>
    <t>Manganese</t>
    <phoneticPr fontId="14" type="noConversion"/>
  </si>
  <si>
    <t>Nickel</t>
    <phoneticPr fontId="14" type="noConversion"/>
  </si>
  <si>
    <t>Total HAPs (tons/yr):</t>
    <phoneticPr fontId="16" type="noConversion"/>
  </si>
  <si>
    <t>Equipment ID</t>
  </si>
  <si>
    <t>Table 8: Diesel Engine Emissons (Low Sulfur Fuel)</t>
  </si>
  <si>
    <t>If other fuel is used, update the table accordingly, particulary the emission factors in row 7.</t>
  </si>
  <si>
    <t>Total</t>
  </si>
  <si>
    <t>Total Engines</t>
  </si>
  <si>
    <t>Total Other Units (Boilers, etc)</t>
  </si>
  <si>
    <t>Total Units (Boilers, etc)</t>
  </si>
  <si>
    <t>Emission Factors are from AP 42, Chapter 1.3, Tables 1.3-1, 1.3-2, 1.3-3 [revised 5/2010]</t>
  </si>
  <si>
    <t>Additional HAPs emission factors are available in AP-42, Chapter 1.3.</t>
  </si>
  <si>
    <t>Napthalene</t>
  </si>
  <si>
    <t>Antimony</t>
  </si>
  <si>
    <t>Arsenic</t>
  </si>
  <si>
    <t>% Sulfur in fuel:</t>
  </si>
  <si>
    <r>
      <t>PM</t>
    </r>
    <r>
      <rPr>
        <b/>
        <vertAlign val="subscript"/>
        <sz val="12"/>
        <rFont val="Verdana"/>
        <family val="2"/>
      </rPr>
      <t>2.5</t>
    </r>
  </si>
  <si>
    <r>
      <t>SO</t>
    </r>
    <r>
      <rPr>
        <b/>
        <vertAlign val="subscript"/>
        <sz val="12"/>
        <rFont val="Verdana"/>
        <family val="2"/>
      </rPr>
      <t>2</t>
    </r>
  </si>
  <si>
    <r>
      <t>Assume SO</t>
    </r>
    <r>
      <rPr>
        <vertAlign val="subscript"/>
        <sz val="12"/>
        <rFont val="Verdana"/>
        <family val="2"/>
      </rPr>
      <t>2</t>
    </r>
    <r>
      <rPr>
        <sz val="12"/>
        <rFont val="Verdana"/>
        <family val="2"/>
      </rPr>
      <t xml:space="preserve"> e.f. for diesel fuel is the same as for low sulfur #2 fuel oil.</t>
    </r>
  </si>
  <si>
    <r>
      <t>PM</t>
    </r>
    <r>
      <rPr>
        <vertAlign val="subscript"/>
        <sz val="12"/>
        <rFont val="Verdana"/>
        <family val="2"/>
      </rPr>
      <t>10</t>
    </r>
  </si>
  <si>
    <r>
      <t>SO</t>
    </r>
    <r>
      <rPr>
        <vertAlign val="subscript"/>
        <sz val="12"/>
        <rFont val="Verdana"/>
        <family val="2"/>
      </rPr>
      <t>2</t>
    </r>
  </si>
  <si>
    <r>
      <t>Emission Factor in lb/10</t>
    </r>
    <r>
      <rPr>
        <vertAlign val="superscript"/>
        <sz val="12"/>
        <rFont val="Verdana"/>
        <family val="2"/>
      </rPr>
      <t>3</t>
    </r>
    <r>
      <rPr>
        <sz val="12"/>
        <rFont val="Verdana"/>
        <family val="2"/>
      </rPr>
      <t>gal</t>
    </r>
  </si>
  <si>
    <r>
      <t>Assume PE=PM</t>
    </r>
    <r>
      <rPr>
        <vertAlign val="subscript"/>
        <sz val="12"/>
        <color theme="1"/>
        <rFont val="Verdana"/>
        <family val="2"/>
      </rPr>
      <t>10</t>
    </r>
    <r>
      <rPr>
        <sz val="12"/>
        <color theme="1"/>
        <rFont val="Verdana"/>
        <family val="2"/>
      </rPr>
      <t>=PM</t>
    </r>
    <r>
      <rPr>
        <vertAlign val="subscript"/>
        <sz val="12"/>
        <color theme="1"/>
        <rFont val="Verdana"/>
        <family val="2"/>
      </rPr>
      <t>2.5</t>
    </r>
    <r>
      <rPr>
        <sz val="12"/>
        <color theme="1"/>
        <rFont val="Verdana"/>
        <family val="2"/>
      </rPr>
      <t>.</t>
    </r>
  </si>
  <si>
    <t>Table 10: Emissions from Refrigerants Used in Production</t>
  </si>
  <si>
    <t>Table 11: PM emissions from unpaved roadways and parking areas</t>
  </si>
  <si>
    <r>
      <t>Table 12: PM</t>
    </r>
    <r>
      <rPr>
        <vertAlign val="subscript"/>
        <sz val="12"/>
        <rFont val="Verdana"/>
        <family val="2"/>
      </rPr>
      <t>10</t>
    </r>
    <r>
      <rPr>
        <sz val="12"/>
        <rFont val="Verdana"/>
        <family val="2"/>
      </rPr>
      <t xml:space="preserve"> emissions from unpaved roadways and parking areas</t>
    </r>
  </si>
  <si>
    <t>Table 13: PM emissions from paved roadways and parking areas</t>
  </si>
  <si>
    <r>
      <t>Table 14: PM</t>
    </r>
    <r>
      <rPr>
        <vertAlign val="subscript"/>
        <sz val="12"/>
        <rFont val="Verdana"/>
        <family val="2"/>
      </rPr>
      <t>10</t>
    </r>
    <r>
      <rPr>
        <sz val="12"/>
        <rFont val="Verdana"/>
        <family val="2"/>
      </rPr>
      <t xml:space="preserve"> Emissions from paved roadways and parking areas</t>
    </r>
  </si>
  <si>
    <t>Table 15: Emissions from storage piles</t>
  </si>
  <si>
    <t>Table 16: Emissions from coating usage</t>
  </si>
  <si>
    <t>Table 17: Emissions from cleanup usage</t>
  </si>
  <si>
    <t>Table 18: Particulate emissions from spray application of coatings</t>
  </si>
  <si>
    <t>Processes:</t>
  </si>
  <si>
    <t>Process Emissions:</t>
  </si>
  <si>
    <t>Table 19: Process with emissions control device</t>
  </si>
  <si>
    <t>Process Description</t>
  </si>
  <si>
    <t>Maximum Activity Rate (tons/hour)</t>
  </si>
  <si>
    <t>Activity rate can be throughput rate, production rate, etc.</t>
  </si>
  <si>
    <r>
      <t>Assume PM = PM</t>
    </r>
    <r>
      <rPr>
        <vertAlign val="subscript"/>
        <sz val="12"/>
        <rFont val="Verdana"/>
        <family val="2"/>
      </rPr>
      <t>10</t>
    </r>
    <r>
      <rPr>
        <sz val="12"/>
        <rFont val="Verdana"/>
        <family val="2"/>
      </rPr>
      <t>.</t>
    </r>
  </si>
  <si>
    <t>Uncontrolled AP-42 Emission Factor (lbs PM/ton)</t>
  </si>
  <si>
    <t>Controlled AP-42 Emission Factor (lbs PM/ton)</t>
  </si>
  <si>
    <t>Uncontrolled PM Emissions (lbs/hr)</t>
  </si>
  <si>
    <t>Uncontrolled PM Emissions (tons/yr)</t>
  </si>
  <si>
    <t>Controlled PM Emissions (lbs/hr)</t>
  </si>
  <si>
    <t>Controlled PM Emissions (tons/yr)</t>
  </si>
  <si>
    <t>Example with baghouse, controlled emission factor</t>
  </si>
  <si>
    <t>Example with baghouse, uncontrolled emission factor and % control</t>
  </si>
  <si>
    <t>Example uncontrolled</t>
  </si>
  <si>
    <t>Example with baghouse, outlet grain loading known</t>
  </si>
  <si>
    <t>Ex 1 - electric induction furnace w/baghouse and controlled emission factor</t>
  </si>
  <si>
    <t>Ex 2 - electric induction furnace w/baghouse and % control efficiency</t>
  </si>
  <si>
    <t>Ex 4 - electric induction furnace, uncontrolled</t>
  </si>
  <si>
    <t>Baghouse Overall Control Efficiency (%)</t>
  </si>
  <si>
    <t>Examples show 4 emissions scenarios for an electric induction furnace at a gray iron foundry, emisision factor from AP-42 Chapter 12-10 (revised 1/1995).</t>
  </si>
  <si>
    <t>For example 2, assume baghouse has known overall control efficiency of 99.8%.</t>
  </si>
  <si>
    <t>Ex 3 - electric induction furnace w/baghouse and outlet grain loading</t>
  </si>
  <si>
    <t>Baghouse Outlet Grain Loading (gr/dscf)</t>
  </si>
  <si>
    <t>Baghouse Air Flow Rate (dscfm)</t>
  </si>
  <si>
    <t>The uncontrolled emission rate is generally the PTE unless there is a federally enforceable permit or rule-established limit that allows the controlled rate to be the PTE.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</si>
</sst>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_)"/>
    <numFmt numFmtId="165" formatCode="0_)"/>
    <numFmt numFmtId="166" formatCode="0.0E+00_)"/>
    <numFmt numFmtId="167" formatCode="0.0%"/>
    <numFmt numFmtId="168" formatCode="0.0000"/>
    <numFmt numFmtId="169" formatCode="mm/dd/yyyy"/>
    <numFmt numFmtId="170" formatCode="0.00000"/>
    <numFmt numFmtId="171" formatCode="0.00_)"/>
    <numFmt numFmtId="172" formatCode="0.0"/>
    <numFmt numFmtId="173" formatCode="0.000"/>
    <numFmt numFmtId="180" formatCode="0.000E+00_)"/>
    <numFmt numFmtId="181" formatCode="0.000_)"/>
  </numFmts>
  <fonts count="36">
    <font>
      <sz val="10"/>
      <name val="Verdana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8"/>
      <name val="Arial MT"/>
    </font>
    <font>
      <sz val="12"/>
      <name val="Verdana"/>
      <family val="2"/>
    </font>
    <font>
      <b/>
      <u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vertAlign val="superscript"/>
      <sz val="12"/>
      <color theme="1"/>
      <name val="Verdana"/>
      <family val="2"/>
    </font>
    <font>
      <i/>
      <sz val="12"/>
      <color theme="1"/>
      <name val="Verdana"/>
      <family val="2"/>
    </font>
    <font>
      <u/>
      <sz val="12"/>
      <color theme="1"/>
      <name val="Verdana"/>
      <family val="2"/>
    </font>
    <font>
      <vertAlign val="subscript"/>
      <sz val="12"/>
      <color theme="1"/>
      <name val="Verdana"/>
      <family val="2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rgb="FFFF0000"/>
      <name val="Verdana"/>
      <family val="2"/>
    </font>
    <font>
      <i/>
      <vertAlign val="superscript"/>
      <sz val="12"/>
      <color rgb="FFFF0000"/>
      <name val="Verdana"/>
      <family val="2"/>
    </font>
    <font>
      <i/>
      <sz val="12"/>
      <color rgb="FFFF0000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vertAlign val="subscript"/>
      <sz val="12"/>
      <name val="Verdana"/>
      <family val="2"/>
    </font>
    <font>
      <vertAlign val="superscript"/>
      <sz val="12"/>
      <name val="Verdana"/>
      <family val="2"/>
    </font>
    <font>
      <vertAlign val="subscript"/>
      <sz val="12"/>
      <name val="Verdana"/>
      <family val="2"/>
    </font>
    <font>
      <i/>
      <sz val="12"/>
      <name val="Verdana"/>
      <family val="2"/>
    </font>
    <font>
      <b/>
      <sz val="12"/>
      <color indexed="10"/>
      <name val="Verdana"/>
      <family val="2"/>
    </font>
    <font>
      <vertAlign val="subscript"/>
      <sz val="12"/>
      <color indexed="8"/>
      <name val="Verdana"/>
      <family val="2"/>
    </font>
    <font>
      <sz val="12"/>
      <color indexed="8"/>
      <name val="Verdana"/>
      <family val="2"/>
    </font>
    <font>
      <vertAlign val="superscript"/>
      <sz val="12"/>
      <color indexed="8"/>
      <name val="Verdana"/>
      <family val="2"/>
    </font>
    <font>
      <u/>
      <sz val="12"/>
      <color indexed="8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CCFFCC"/>
        <bgColor theme="0"/>
      </patternFill>
    </fill>
    <fill>
      <patternFill patternType="solid">
        <fgColor theme="4" tint="0.79998168889431442"/>
        <bgColor indexed="8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21" fillId="0" borderId="0"/>
  </cellStyleXfs>
  <cellXfs count="471">
    <xf numFmtId="0" fontId="0" fillId="0" borderId="0" xfId="0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7" fillId="3" borderId="0" xfId="0" applyFont="1" applyFill="1"/>
    <xf numFmtId="2" fontId="7" fillId="2" borderId="0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/>
    </xf>
    <xf numFmtId="168" fontId="7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167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2" fontId="7" fillId="2" borderId="0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Alignment="1"/>
    <xf numFmtId="0" fontId="8" fillId="2" borderId="0" xfId="0" applyFont="1" applyFill="1" applyBorder="1"/>
    <xf numFmtId="0" fontId="7" fillId="2" borderId="0" xfId="0" applyFont="1" applyFill="1" applyAlignment="1" applyProtection="1">
      <alignment horizontal="right" vertical="center"/>
    </xf>
    <xf numFmtId="0" fontId="8" fillId="2" borderId="0" xfId="0" applyFont="1" applyFill="1" applyAlignment="1"/>
    <xf numFmtId="0" fontId="7" fillId="2" borderId="11" xfId="0" applyFont="1" applyFill="1" applyBorder="1" applyAlignment="1"/>
    <xf numFmtId="0" fontId="7" fillId="2" borderId="0" xfId="0" applyFont="1" applyFill="1" applyBorder="1" applyAlignment="1"/>
    <xf numFmtId="10" fontId="7" fillId="2" borderId="4" xfId="0" applyNumberFormat="1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49" fontId="7" fillId="2" borderId="0" xfId="0" applyNumberFormat="1" applyFont="1" applyFill="1"/>
    <xf numFmtId="49" fontId="6" fillId="2" borderId="0" xfId="0" applyNumberFormat="1" applyFont="1" applyFill="1"/>
    <xf numFmtId="49" fontId="7" fillId="3" borderId="0" xfId="0" applyNumberFormat="1" applyFont="1" applyFill="1" applyBorder="1" applyAlignment="1"/>
    <xf numFmtId="49" fontId="7" fillId="3" borderId="0" xfId="0" applyNumberFormat="1" applyFont="1" applyFill="1"/>
    <xf numFmtId="49" fontId="7" fillId="3" borderId="0" xfId="0" applyNumberFormat="1" applyFont="1" applyFill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3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165" fontId="7" fillId="5" borderId="4" xfId="0" applyNumberFormat="1" applyFont="1" applyFill="1" applyBorder="1" applyAlignment="1">
      <alignment horizontal="center" vertical="center"/>
    </xf>
    <xf numFmtId="166" fontId="7" fillId="5" borderId="4" xfId="0" applyNumberFormat="1" applyFont="1" applyFill="1" applyBorder="1" applyAlignment="1">
      <alignment horizontal="center" vertical="center"/>
    </xf>
    <xf numFmtId="4" fontId="7" fillId="5" borderId="1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14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49" fontId="2" fillId="2" borderId="0" xfId="0" applyNumberFormat="1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indent="1"/>
    </xf>
    <xf numFmtId="2" fontId="2" fillId="2" borderId="4" xfId="0" quotePrefix="1" applyNumberFormat="1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3" borderId="0" xfId="0" applyFont="1" applyFill="1" applyBorder="1" applyAlignment="1"/>
    <xf numFmtId="2" fontId="2" fillId="3" borderId="0" xfId="0" applyNumberFormat="1" applyFont="1" applyFill="1" applyBorder="1" applyAlignment="1">
      <alignment horizontal="center"/>
    </xf>
    <xf numFmtId="0" fontId="17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/>
    </xf>
    <xf numFmtId="49" fontId="7" fillId="4" borderId="1" xfId="0" applyNumberFormat="1" applyFont="1" applyFill="1" applyBorder="1" applyAlignment="1">
      <alignment vertical="center" wrapText="1"/>
    </xf>
    <xf numFmtId="49" fontId="7" fillId="4" borderId="8" xfId="0" applyNumberFormat="1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/>
    </xf>
    <xf numFmtId="167" fontId="7" fillId="2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wrapText="1"/>
    </xf>
    <xf numFmtId="0" fontId="7" fillId="7" borderId="0" xfId="0" applyFont="1" applyFill="1"/>
    <xf numFmtId="2" fontId="18" fillId="2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4" fontId="7" fillId="8" borderId="4" xfId="0" applyNumberFormat="1" applyFont="1" applyFill="1" applyBorder="1" applyAlignment="1">
      <alignment horizontal="center" vertical="center"/>
    </xf>
    <xf numFmtId="2" fontId="18" fillId="2" borderId="4" xfId="0" applyNumberFormat="1" applyFont="1" applyFill="1" applyBorder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 vertical="center"/>
    </xf>
    <xf numFmtId="170" fontId="18" fillId="2" borderId="4" xfId="0" quotePrefix="1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vertical="center" wrapText="1"/>
    </xf>
    <xf numFmtId="168" fontId="18" fillId="3" borderId="4" xfId="0" applyNumberFormat="1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/>
    </xf>
    <xf numFmtId="2" fontId="18" fillId="3" borderId="4" xfId="0" applyNumberFormat="1" applyFont="1" applyFill="1" applyBorder="1" applyAlignment="1">
      <alignment horizontal="center"/>
    </xf>
    <xf numFmtId="2" fontId="20" fillId="2" borderId="4" xfId="0" quotePrefix="1" applyNumberFormat="1" applyFont="1" applyFill="1" applyBorder="1" applyAlignment="1">
      <alignment horizontal="center"/>
    </xf>
    <xf numFmtId="2" fontId="20" fillId="3" borderId="4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 vertical="center"/>
    </xf>
    <xf numFmtId="169" fontId="5" fillId="8" borderId="4" xfId="0" applyNumberFormat="1" applyFont="1" applyFill="1" applyBorder="1" applyAlignment="1">
      <alignment horizontal="center" vertical="center"/>
    </xf>
    <xf numFmtId="10" fontId="18" fillId="2" borderId="4" xfId="0" applyNumberFormat="1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center"/>
    </xf>
    <xf numFmtId="0" fontId="7" fillId="7" borderId="0" xfId="0" applyFont="1" applyFill="1" applyAlignment="1">
      <alignment wrapText="1"/>
    </xf>
    <xf numFmtId="49" fontId="7" fillId="8" borderId="4" xfId="0" applyNumberFormat="1" applyFont="1" applyFill="1" applyBorder="1" applyAlignment="1">
      <alignment horizontal="left" vertical="center" wrapText="1" indent="1"/>
    </xf>
    <xf numFmtId="49" fontId="7" fillId="8" borderId="4" xfId="0" applyNumberFormat="1" applyFont="1" applyFill="1" applyBorder="1" applyAlignment="1">
      <alignment horizontal="center" vertical="center" wrapText="1"/>
    </xf>
    <xf numFmtId="49" fontId="7" fillId="8" borderId="4" xfId="0" quotePrefix="1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49" fontId="7" fillId="8" borderId="4" xfId="0" applyNumberFormat="1" applyFont="1" applyFill="1" applyBorder="1" applyAlignment="1">
      <alignment vertical="center" wrapText="1"/>
    </xf>
    <xf numFmtId="2" fontId="7" fillId="8" borderId="4" xfId="0" quotePrefix="1" applyNumberFormat="1" applyFont="1" applyFill="1" applyBorder="1" applyAlignment="1">
      <alignment horizontal="center" vertical="center" wrapText="1"/>
    </xf>
    <xf numFmtId="2" fontId="7" fillId="8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16" fillId="6" borderId="7" xfId="0" applyFont="1" applyFill="1" applyBorder="1" applyAlignment="1">
      <alignment vertical="center"/>
    </xf>
    <xf numFmtId="0" fontId="16" fillId="6" borderId="6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/>
    <xf numFmtId="0" fontId="7" fillId="4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2" borderId="0" xfId="0" applyFont="1" applyFill="1"/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2" fontId="7" fillId="8" borderId="4" xfId="0" applyNumberFormat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vertical="center" wrapText="1"/>
    </xf>
    <xf numFmtId="168" fontId="18" fillId="3" borderId="4" xfId="0" applyNumberFormat="1" applyFont="1" applyFill="1" applyBorder="1" applyAlignment="1">
      <alignment horizontal="center" vertical="center" wrapText="1"/>
    </xf>
    <xf numFmtId="168" fontId="18" fillId="3" borderId="4" xfId="0" applyNumberFormat="1" applyFont="1" applyFill="1" applyBorder="1" applyAlignment="1">
      <alignment vertical="center" wrapText="1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/>
    <xf numFmtId="0" fontId="7" fillId="5" borderId="6" xfId="0" applyFont="1" applyFill="1" applyBorder="1"/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9" fillId="2" borderId="0" xfId="0" applyFont="1" applyFill="1" applyAlignment="1">
      <alignment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/>
    </xf>
    <xf numFmtId="0" fontId="5" fillId="0" borderId="0" xfId="1" applyFont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1"/>
    </xf>
    <xf numFmtId="0" fontId="23" fillId="3" borderId="0" xfId="0" applyFont="1" applyFill="1"/>
    <xf numFmtId="0" fontId="5" fillId="0" borderId="0" xfId="0" applyFont="1"/>
    <xf numFmtId="0" fontId="24" fillId="9" borderId="15" xfId="1" applyFont="1" applyFill="1" applyBorder="1" applyAlignment="1">
      <alignment horizontal="centerContinuous"/>
    </xf>
    <xf numFmtId="0" fontId="24" fillId="9" borderId="15" xfId="1" applyFont="1" applyFill="1" applyBorder="1" applyAlignment="1">
      <alignment horizontal="center"/>
    </xf>
    <xf numFmtId="0" fontId="24" fillId="9" borderId="14" xfId="1" applyFont="1" applyFill="1" applyBorder="1" applyAlignment="1">
      <alignment horizontal="center"/>
    </xf>
    <xf numFmtId="0" fontId="24" fillId="9" borderId="15" xfId="1" applyFont="1" applyFill="1" applyBorder="1" applyAlignment="1">
      <alignment horizontal="center"/>
    </xf>
    <xf numFmtId="0" fontId="24" fillId="9" borderId="17" xfId="1" applyFont="1" applyFill="1" applyBorder="1" applyAlignment="1">
      <alignment horizontal="centerContinuous"/>
    </xf>
    <xf numFmtId="0" fontId="24" fillId="9" borderId="19" xfId="1" applyFont="1" applyFill="1" applyBorder="1" applyAlignment="1">
      <alignment horizontal="center"/>
    </xf>
    <xf numFmtId="0" fontId="24" fillId="9" borderId="19" xfId="1" applyFont="1" applyFill="1" applyBorder="1"/>
    <xf numFmtId="0" fontId="24" fillId="6" borderId="22" xfId="1" applyFont="1" applyFill="1" applyBorder="1"/>
    <xf numFmtId="0" fontId="24" fillId="6" borderId="22" xfId="1" applyFont="1" applyFill="1" applyBorder="1" applyAlignment="1">
      <alignment horizontal="center"/>
    </xf>
    <xf numFmtId="0" fontId="24" fillId="6" borderId="23" xfId="1" applyFont="1" applyFill="1" applyBorder="1" applyAlignment="1">
      <alignment horizontal="center"/>
    </xf>
    <xf numFmtId="0" fontId="5" fillId="8" borderId="21" xfId="1" applyFont="1" applyFill="1" applyBorder="1" applyAlignment="1">
      <alignment horizontal="left"/>
    </xf>
    <xf numFmtId="164" fontId="5" fillId="8" borderId="24" xfId="1" applyNumberFormat="1" applyFont="1" applyFill="1" applyBorder="1" applyAlignment="1">
      <alignment horizontal="center"/>
    </xf>
    <xf numFmtId="37" fontId="7" fillId="8" borderId="24" xfId="1" applyNumberFormat="1" applyFont="1" applyFill="1" applyBorder="1" applyAlignment="1">
      <alignment horizontal="center"/>
    </xf>
    <xf numFmtId="167" fontId="7" fillId="8" borderId="24" xfId="1" applyNumberFormat="1" applyFont="1" applyFill="1" applyBorder="1" applyAlignment="1">
      <alignment horizontal="center"/>
    </xf>
    <xf numFmtId="164" fontId="5" fillId="8" borderId="25" xfId="1" applyNumberFormat="1" applyFont="1" applyFill="1" applyBorder="1" applyAlignment="1">
      <alignment horizontal="center"/>
    </xf>
    <xf numFmtId="37" fontId="7" fillId="8" borderId="25" xfId="1" applyNumberFormat="1" applyFont="1" applyFill="1" applyBorder="1" applyAlignment="1">
      <alignment horizontal="center"/>
    </xf>
    <xf numFmtId="167" fontId="7" fillId="8" borderId="25" xfId="1" applyNumberFormat="1" applyFont="1" applyFill="1" applyBorder="1" applyAlignment="1">
      <alignment horizontal="center"/>
    </xf>
    <xf numFmtId="0" fontId="18" fillId="8" borderId="21" xfId="1" applyFont="1" applyFill="1" applyBorder="1" applyAlignment="1">
      <alignment horizontal="left"/>
    </xf>
    <xf numFmtId="37" fontId="18" fillId="8" borderId="24" xfId="1" applyNumberFormat="1" applyFont="1" applyFill="1" applyBorder="1" applyAlignment="1">
      <alignment horizontal="center"/>
    </xf>
    <xf numFmtId="9" fontId="18" fillId="8" borderId="24" xfId="1" applyNumberFormat="1" applyFont="1" applyFill="1" applyBorder="1" applyAlignment="1">
      <alignment horizontal="center"/>
    </xf>
    <xf numFmtId="171" fontId="5" fillId="9" borderId="27" xfId="1" applyNumberFormat="1" applyFont="1" applyFill="1" applyBorder="1" applyAlignment="1">
      <alignment horizontal="center"/>
    </xf>
    <xf numFmtId="0" fontId="24" fillId="9" borderId="27" xfId="1" applyFont="1" applyFill="1" applyBorder="1"/>
    <xf numFmtId="0" fontId="24" fillId="9" borderId="27" xfId="1" applyFont="1" applyFill="1" applyBorder="1" applyAlignment="1">
      <alignment horizontal="center"/>
    </xf>
    <xf numFmtId="164" fontId="5" fillId="8" borderId="27" xfId="1" applyNumberFormat="1" applyFont="1" applyFill="1" applyBorder="1" applyAlignment="1">
      <alignment horizontal="center"/>
    </xf>
    <xf numFmtId="0" fontId="24" fillId="9" borderId="14" xfId="1" applyFont="1" applyFill="1" applyBorder="1" applyAlignment="1">
      <alignment horizontal="center" vertical="center" wrapText="1"/>
    </xf>
    <xf numFmtId="0" fontId="24" fillId="6" borderId="30" xfId="1" applyFont="1" applyFill="1" applyBorder="1"/>
    <xf numFmtId="0" fontId="24" fillId="9" borderId="14" xfId="1" applyFont="1" applyFill="1" applyBorder="1" applyAlignment="1">
      <alignment horizontal="center" wrapText="1"/>
    </xf>
    <xf numFmtId="0" fontId="24" fillId="9" borderId="0" xfId="1" applyFont="1" applyFill="1" applyBorder="1" applyAlignment="1">
      <alignment horizontal="center"/>
    </xf>
    <xf numFmtId="0" fontId="24" fillId="9" borderId="1" xfId="1" applyFont="1" applyFill="1" applyBorder="1" applyAlignment="1">
      <alignment horizontal="center"/>
    </xf>
    <xf numFmtId="0" fontId="24" fillId="9" borderId="2" xfId="1" applyFont="1" applyFill="1" applyBorder="1" applyAlignment="1">
      <alignment horizontal="center"/>
    </xf>
    <xf numFmtId="0" fontId="24" fillId="9" borderId="3" xfId="1" applyFont="1" applyFill="1" applyBorder="1"/>
    <xf numFmtId="0" fontId="24" fillId="9" borderId="20" xfId="1" applyFont="1" applyFill="1" applyBorder="1" applyAlignment="1">
      <alignment horizontal="center"/>
    </xf>
    <xf numFmtId="0" fontId="24" fillId="6" borderId="0" xfId="1" applyFont="1" applyFill="1" applyBorder="1"/>
    <xf numFmtId="167" fontId="7" fillId="8" borderId="27" xfId="1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7" fillId="8" borderId="5" xfId="1" applyFont="1" applyFill="1" applyBorder="1"/>
    <xf numFmtId="0" fontId="5" fillId="8" borderId="6" xfId="1" applyFont="1" applyFill="1" applyBorder="1"/>
    <xf numFmtId="0" fontId="7" fillId="8" borderId="4" xfId="1" applyFont="1" applyFill="1" applyBorder="1"/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/>
    </xf>
    <xf numFmtId="0" fontId="5" fillId="3" borderId="0" xfId="1" applyFont="1" applyFill="1"/>
    <xf numFmtId="0" fontId="7" fillId="8" borderId="6" xfId="0" applyFont="1" applyFill="1" applyBorder="1"/>
    <xf numFmtId="0" fontId="5" fillId="8" borderId="31" xfId="1" applyFont="1" applyFill="1" applyBorder="1" applyAlignment="1">
      <alignment horizontal="left"/>
    </xf>
    <xf numFmtId="164" fontId="5" fillId="8" borderId="33" xfId="1" applyNumberFormat="1" applyFont="1" applyFill="1" applyBorder="1" applyAlignment="1">
      <alignment horizontal="center"/>
    </xf>
    <xf numFmtId="37" fontId="7" fillId="8" borderId="33" xfId="1" applyNumberFormat="1" applyFont="1" applyFill="1" applyBorder="1" applyAlignment="1">
      <alignment horizontal="center"/>
    </xf>
    <xf numFmtId="0" fontId="5" fillId="9" borderId="5" xfId="1" applyFont="1" applyFill="1" applyBorder="1" applyAlignment="1">
      <alignment horizontal="center" wrapText="1"/>
    </xf>
    <xf numFmtId="0" fontId="5" fillId="9" borderId="7" xfId="0" applyFont="1" applyFill="1" applyBorder="1" applyAlignment="1">
      <alignment horizontal="center" wrapText="1"/>
    </xf>
    <xf numFmtId="164" fontId="5" fillId="9" borderId="7" xfId="1" applyNumberFormat="1" applyFont="1" applyFill="1" applyBorder="1" applyAlignment="1">
      <alignment horizontal="center"/>
    </xf>
    <xf numFmtId="2" fontId="5" fillId="9" borderId="7" xfId="1" applyNumberFormat="1" applyFont="1" applyFill="1" applyBorder="1" applyAlignment="1">
      <alignment horizontal="center"/>
    </xf>
    <xf numFmtId="171" fontId="18" fillId="9" borderId="7" xfId="2" applyNumberFormat="1" applyFont="1" applyFill="1" applyBorder="1" applyAlignment="1">
      <alignment horizontal="center"/>
    </xf>
    <xf numFmtId="37" fontId="7" fillId="9" borderId="7" xfId="1" applyNumberFormat="1" applyFont="1" applyFill="1" applyBorder="1" applyAlignment="1">
      <alignment horizontal="center"/>
    </xf>
    <xf numFmtId="37" fontId="7" fillId="9" borderId="6" xfId="1" applyNumberFormat="1" applyFont="1" applyFill="1" applyBorder="1" applyAlignment="1">
      <alignment horizontal="center"/>
    </xf>
    <xf numFmtId="0" fontId="8" fillId="3" borderId="0" xfId="1" applyFont="1" applyFill="1"/>
    <xf numFmtId="0" fontId="5" fillId="3" borderId="0" xfId="0" applyFont="1" applyFill="1"/>
    <xf numFmtId="0" fontId="5" fillId="3" borderId="0" xfId="1" applyFont="1" applyFill="1" applyAlignment="1">
      <alignment horizontal="centerContinuous"/>
    </xf>
    <xf numFmtId="0" fontId="24" fillId="3" borderId="0" xfId="1" applyFont="1" applyFill="1" applyAlignment="1">
      <alignment horizontal="centerContinuous"/>
    </xf>
    <xf numFmtId="0" fontId="0" fillId="3" borderId="15" xfId="0" applyFill="1" applyBorder="1" applyAlignment="1">
      <alignment vertical="center" wrapText="1"/>
    </xf>
    <xf numFmtId="0" fontId="0" fillId="3" borderId="16" xfId="0" applyFill="1" applyBorder="1" applyAlignment="1">
      <alignment horizont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0" fillId="3" borderId="26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3" borderId="28" xfId="0" applyFill="1" applyBorder="1" applyAlignment="1">
      <alignment vertical="center" wrapText="1"/>
    </xf>
    <xf numFmtId="0" fontId="0" fillId="3" borderId="29" xfId="0" applyFill="1" applyBorder="1" applyAlignment="1">
      <alignment vertical="center" wrapText="1"/>
    </xf>
    <xf numFmtId="0" fontId="5" fillId="3" borderId="23" xfId="0" applyFont="1" applyFill="1" applyBorder="1" applyAlignment="1">
      <alignment horizontal="left"/>
    </xf>
    <xf numFmtId="164" fontId="5" fillId="3" borderId="24" xfId="1" applyNumberFormat="1" applyFont="1" applyFill="1" applyBorder="1" applyAlignment="1">
      <alignment horizontal="center"/>
    </xf>
    <xf numFmtId="2" fontId="5" fillId="3" borderId="24" xfId="1" applyNumberFormat="1" applyFont="1" applyFill="1" applyBorder="1" applyAlignment="1">
      <alignment horizontal="center"/>
    </xf>
    <xf numFmtId="171" fontId="18" fillId="3" borderId="24" xfId="2" applyNumberFormat="1" applyFont="1" applyFill="1" applyBorder="1" applyAlignment="1">
      <alignment horizontal="center"/>
    </xf>
    <xf numFmtId="171" fontId="18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2" fontId="5" fillId="3" borderId="25" xfId="1" applyNumberFormat="1" applyFont="1" applyFill="1" applyBorder="1" applyAlignment="1">
      <alignment horizontal="center"/>
    </xf>
    <xf numFmtId="171" fontId="18" fillId="3" borderId="25" xfId="2" applyNumberFormat="1" applyFont="1" applyFill="1" applyBorder="1" applyAlignment="1">
      <alignment horizontal="center"/>
    </xf>
    <xf numFmtId="171" fontId="18" fillId="3" borderId="25" xfId="1" applyNumberFormat="1" applyFont="1" applyFill="1" applyBorder="1" applyAlignment="1">
      <alignment horizontal="center"/>
    </xf>
    <xf numFmtId="0" fontId="5" fillId="3" borderId="32" xfId="0" applyFont="1" applyFill="1" applyBorder="1" applyAlignment="1">
      <alignment horizontal="left"/>
    </xf>
    <xf numFmtId="164" fontId="5" fillId="3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/>
    </xf>
    <xf numFmtId="171" fontId="18" fillId="3" borderId="33" xfId="2" applyNumberFormat="1" applyFont="1" applyFill="1" applyBorder="1" applyAlignment="1">
      <alignment horizontal="center"/>
    </xf>
    <xf numFmtId="171" fontId="18" fillId="3" borderId="23" xfId="1" applyNumberFormat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164" fontId="5" fillId="3" borderId="0" xfId="1" applyNumberFormat="1" applyFont="1" applyFill="1" applyAlignment="1">
      <alignment horizontal="center"/>
    </xf>
    <xf numFmtId="171" fontId="5" fillId="3" borderId="0" xfId="1" applyNumberFormat="1" applyFont="1" applyFill="1" applyAlignment="1">
      <alignment horizontal="center"/>
    </xf>
    <xf numFmtId="167" fontId="5" fillId="3" borderId="0" xfId="1" applyNumberFormat="1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8" fillId="3" borderId="23" xfId="0" applyFont="1" applyFill="1" applyBorder="1" applyAlignment="1">
      <alignment horizontal="left"/>
    </xf>
    <xf numFmtId="172" fontId="5" fillId="3" borderId="24" xfId="1" applyNumberFormat="1" applyFont="1" applyFill="1" applyBorder="1" applyAlignment="1">
      <alignment horizontal="center"/>
    </xf>
    <xf numFmtId="164" fontId="18" fillId="3" borderId="24" xfId="1" applyNumberFormat="1" applyFont="1" applyFill="1" applyBorder="1" applyAlignment="1">
      <alignment horizontal="center"/>
    </xf>
    <xf numFmtId="172" fontId="5" fillId="3" borderId="25" xfId="1" applyNumberFormat="1" applyFont="1" applyFill="1" applyBorder="1" applyAlignment="1">
      <alignment horizontal="center"/>
    </xf>
    <xf numFmtId="164" fontId="18" fillId="3" borderId="25" xfId="1" applyNumberFormat="1" applyFont="1" applyFill="1" applyBorder="1" applyAlignment="1">
      <alignment horizontal="center"/>
    </xf>
    <xf numFmtId="167" fontId="5" fillId="3" borderId="0" xfId="1" applyNumberFormat="1" applyFont="1" applyFill="1" applyAlignment="1">
      <alignment horizontal="center"/>
    </xf>
    <xf numFmtId="0" fontId="5" fillId="3" borderId="0" xfId="2" applyFont="1" applyFill="1"/>
    <xf numFmtId="164" fontId="5" fillId="3" borderId="0" xfId="2" applyNumberFormat="1" applyFont="1" applyFill="1" applyAlignment="1">
      <alignment horizontal="center"/>
    </xf>
    <xf numFmtId="10" fontId="5" fillId="3" borderId="0" xfId="1" applyNumberFormat="1" applyFont="1" applyFill="1"/>
    <xf numFmtId="0" fontId="28" fillId="3" borderId="0" xfId="0" applyFont="1" applyFill="1"/>
    <xf numFmtId="0" fontId="1" fillId="6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indent="1"/>
    </xf>
    <xf numFmtId="0" fontId="5" fillId="3" borderId="0" xfId="1" applyFont="1" applyFill="1" applyAlignment="1">
      <alignment horizontal="center"/>
    </xf>
    <xf numFmtId="0" fontId="0" fillId="3" borderId="16" xfId="0" applyFill="1" applyBorder="1" applyAlignment="1">
      <alignment wrapText="1"/>
    </xf>
    <xf numFmtId="0" fontId="0" fillId="3" borderId="26" xfId="0" applyFill="1" applyBorder="1" applyAlignment="1">
      <alignment wrapText="1"/>
    </xf>
    <xf numFmtId="0" fontId="0" fillId="3" borderId="20" xfId="0" applyFill="1" applyBorder="1" applyAlignment="1">
      <alignment wrapText="1"/>
    </xf>
    <xf numFmtId="173" fontId="5" fillId="3" borderId="27" xfId="1" applyNumberFormat="1" applyFont="1" applyFill="1" applyBorder="1" applyAlignment="1">
      <alignment horizontal="center"/>
    </xf>
    <xf numFmtId="171" fontId="18" fillId="3" borderId="27" xfId="2" applyNumberFormat="1" applyFont="1" applyFill="1" applyBorder="1" applyAlignment="1">
      <alignment horizontal="center"/>
    </xf>
    <xf numFmtId="171" fontId="18" fillId="3" borderId="27" xfId="1" applyNumberFormat="1" applyFont="1" applyFill="1" applyBorder="1" applyAlignment="1">
      <alignment horizontal="center"/>
    </xf>
    <xf numFmtId="168" fontId="5" fillId="3" borderId="27" xfId="1" applyNumberFormat="1" applyFont="1" applyFill="1" applyBorder="1" applyAlignment="1">
      <alignment horizontal="center"/>
    </xf>
    <xf numFmtId="164" fontId="18" fillId="3" borderId="27" xfId="1" applyNumberFormat="1" applyFont="1" applyFill="1" applyBorder="1" applyAlignment="1">
      <alignment horizontal="center"/>
    </xf>
    <xf numFmtId="164" fontId="18" fillId="3" borderId="20" xfId="1" applyNumberFormat="1" applyFont="1" applyFill="1" applyBorder="1" applyAlignment="1">
      <alignment horizontal="center"/>
    </xf>
    <xf numFmtId="171" fontId="5" fillId="3" borderId="4" xfId="2" applyNumberFormat="1" applyFont="1" applyFill="1" applyBorder="1" applyAlignment="1">
      <alignment horizontal="center"/>
    </xf>
    <xf numFmtId="39" fontId="18" fillId="3" borderId="27" xfId="1" applyNumberFormat="1" applyFont="1" applyFill="1" applyBorder="1" applyAlignment="1">
      <alignment horizontal="center"/>
    </xf>
    <xf numFmtId="167" fontId="18" fillId="3" borderId="27" xfId="1" applyNumberFormat="1" applyFont="1" applyFill="1" applyBorder="1" applyAlignment="1">
      <alignment horizontal="center"/>
    </xf>
    <xf numFmtId="0" fontId="29" fillId="3" borderId="0" xfId="0" applyFont="1" applyFill="1"/>
    <xf numFmtId="173" fontId="5" fillId="3" borderId="19" xfId="1" applyNumberFormat="1" applyFont="1" applyFill="1" applyBorder="1" applyAlignment="1">
      <alignment horizontal="center"/>
    </xf>
    <xf numFmtId="164" fontId="5" fillId="8" borderId="19" xfId="1" applyNumberFormat="1" applyFont="1" applyFill="1" applyBorder="1" applyAlignment="1">
      <alignment horizontal="center"/>
    </xf>
    <xf numFmtId="171" fontId="18" fillId="3" borderId="19" xfId="2" applyNumberFormat="1" applyFont="1" applyFill="1" applyBorder="1" applyAlignment="1">
      <alignment horizontal="center"/>
    </xf>
    <xf numFmtId="173" fontId="5" fillId="9" borderId="7" xfId="1" applyNumberFormat="1" applyFont="1" applyFill="1" applyBorder="1" applyAlignment="1">
      <alignment horizontal="center"/>
    </xf>
    <xf numFmtId="164" fontId="5" fillId="9" borderId="6" xfId="1" applyNumberFormat="1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 wrapText="1"/>
    </xf>
    <xf numFmtId="0" fontId="7" fillId="9" borderId="7" xfId="0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vertical="top"/>
    </xf>
    <xf numFmtId="0" fontId="7" fillId="8" borderId="4" xfId="0" applyFont="1" applyFill="1" applyBorder="1" applyAlignment="1">
      <alignment vertical="top" wrapText="1"/>
    </xf>
    <xf numFmtId="0" fontId="7" fillId="8" borderId="1" xfId="0" applyFont="1" applyFill="1" applyBorder="1" applyAlignment="1">
      <alignment vertical="top" wrapText="1"/>
    </xf>
    <xf numFmtId="0" fontId="7" fillId="9" borderId="9" xfId="0" applyFont="1" applyFill="1" applyBorder="1" applyAlignment="1">
      <alignment horizontal="center" vertical="top" wrapText="1"/>
    </xf>
    <xf numFmtId="0" fontId="7" fillId="9" borderId="6" xfId="0" applyFont="1" applyFill="1" applyBorder="1" applyAlignment="1">
      <alignment horizontal="center" vertical="top" wrapText="1"/>
    </xf>
    <xf numFmtId="2" fontId="7" fillId="9" borderId="4" xfId="0" applyNumberFormat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3" fontId="7" fillId="8" borderId="4" xfId="0" applyNumberFormat="1" applyFont="1" applyFill="1" applyBorder="1" applyAlignment="1">
      <alignment horizontal="center" vertical="top" wrapText="1"/>
    </xf>
    <xf numFmtId="3" fontId="7" fillId="8" borderId="1" xfId="0" applyNumberFormat="1" applyFont="1" applyFill="1" applyBorder="1" applyAlignment="1">
      <alignment horizontal="center" vertical="top" wrapText="1"/>
    </xf>
    <xf numFmtId="10" fontId="7" fillId="8" borderId="4" xfId="0" applyNumberFormat="1" applyFont="1" applyFill="1" applyBorder="1" applyAlignment="1">
      <alignment horizontal="center" vertical="top" wrapText="1"/>
    </xf>
    <xf numFmtId="10" fontId="7" fillId="8" borderId="1" xfId="0" applyNumberFormat="1" applyFont="1" applyFill="1" applyBorder="1" applyAlignment="1">
      <alignment horizontal="center" vertical="top" wrapText="1"/>
    </xf>
    <xf numFmtId="2" fontId="18" fillId="10" borderId="4" xfId="0" applyNumberFormat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center" vertical="top" wrapText="1"/>
    </xf>
    <xf numFmtId="2" fontId="18" fillId="3" borderId="4" xfId="0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2" fontId="18" fillId="3" borderId="8" xfId="0" applyNumberFormat="1" applyFont="1" applyFill="1" applyBorder="1" applyAlignment="1">
      <alignment horizontal="center" vertical="top" wrapText="1"/>
    </xf>
    <xf numFmtId="2" fontId="7" fillId="3" borderId="0" xfId="0" applyNumberFormat="1" applyFont="1" applyFill="1" applyBorder="1" applyAlignment="1">
      <alignment horizontal="center" vertical="top" wrapText="1"/>
    </xf>
    <xf numFmtId="0" fontId="11" fillId="3" borderId="0" xfId="0" applyFont="1" applyFill="1"/>
    <xf numFmtId="2" fontId="18" fillId="3" borderId="6" xfId="0" applyNumberFormat="1" applyFont="1" applyFill="1" applyBorder="1" applyAlignment="1">
      <alignment horizontal="center" vertical="top" wrapText="1"/>
    </xf>
    <xf numFmtId="0" fontId="7" fillId="9" borderId="36" xfId="0" applyFont="1" applyFill="1" applyBorder="1" applyAlignment="1">
      <alignment vertical="top" wrapText="1"/>
    </xf>
    <xf numFmtId="0" fontId="7" fillId="9" borderId="34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9" fontId="7" fillId="9" borderId="12" xfId="0" applyNumberFormat="1" applyFont="1" applyFill="1" applyBorder="1" applyAlignment="1">
      <alignment vertical="top"/>
    </xf>
    <xf numFmtId="49" fontId="5" fillId="3" borderId="0" xfId="0" applyNumberFormat="1" applyFont="1" applyFill="1" applyAlignment="1"/>
    <xf numFmtId="49" fontId="24" fillId="3" borderId="0" xfId="1" applyNumberFormat="1" applyFont="1" applyFill="1" applyAlignment="1">
      <alignment horizontal="centerContinuous"/>
    </xf>
    <xf numFmtId="49" fontId="5" fillId="3" borderId="0" xfId="1" applyNumberFormat="1" applyFont="1" applyFill="1" applyAlignment="1">
      <alignment horizontal="centerContinuous"/>
    </xf>
    <xf numFmtId="49" fontId="5" fillId="3" borderId="0" xfId="1" applyNumberFormat="1" applyFont="1" applyFill="1" applyAlignment="1">
      <alignment horizontal="center"/>
    </xf>
    <xf numFmtId="49" fontId="5" fillId="3" borderId="0" xfId="1" applyNumberFormat="1" applyFont="1" applyFill="1"/>
    <xf numFmtId="0" fontId="5" fillId="6" borderId="22" xfId="1" applyFont="1" applyFill="1" applyBorder="1"/>
    <xf numFmtId="0" fontId="5" fillId="6" borderId="21" xfId="1" applyFont="1" applyFill="1" applyBorder="1"/>
    <xf numFmtId="0" fontId="5" fillId="6" borderId="21" xfId="1" applyFont="1" applyFill="1" applyBorder="1" applyAlignment="1">
      <alignment horizontal="left"/>
    </xf>
    <xf numFmtId="0" fontId="24" fillId="0" borderId="0" xfId="0" applyFont="1"/>
    <xf numFmtId="0" fontId="35" fillId="13" borderId="4" xfId="0" applyFont="1" applyFill="1" applyBorder="1" applyAlignment="1">
      <alignment horizontal="left" vertical="center"/>
    </xf>
    <xf numFmtId="0" fontId="35" fillId="13" borderId="6" xfId="0" applyFont="1" applyFill="1" applyBorder="1" applyAlignment="1">
      <alignment horizontal="center" vertical="center" wrapText="1"/>
    </xf>
    <xf numFmtId="0" fontId="34" fillId="13" borderId="12" xfId="0" applyFont="1" applyFill="1" applyBorder="1"/>
    <xf numFmtId="0" fontId="34" fillId="13" borderId="9" xfId="0" applyFont="1" applyFill="1" applyBorder="1" applyAlignment="1">
      <alignment horizontal="center" vertical="center"/>
    </xf>
    <xf numFmtId="0" fontId="34" fillId="13" borderId="35" xfId="0" applyFont="1" applyFill="1" applyBorder="1" applyAlignment="1">
      <alignment horizontal="center" vertical="center"/>
    </xf>
    <xf numFmtId="0" fontId="34" fillId="11" borderId="3" xfId="0" applyFont="1" applyFill="1" applyBorder="1" applyAlignment="1">
      <alignment vertical="center" wrapText="1"/>
    </xf>
    <xf numFmtId="0" fontId="34" fillId="11" borderId="3" xfId="0" applyFont="1" applyFill="1" applyBorder="1" applyAlignment="1">
      <alignment wrapText="1"/>
    </xf>
    <xf numFmtId="2" fontId="34" fillId="11" borderId="4" xfId="0" applyNumberFormat="1" applyFont="1" applyFill="1" applyBorder="1" applyAlignment="1">
      <alignment horizontal="center" vertical="center"/>
    </xf>
    <xf numFmtId="0" fontId="34" fillId="11" borderId="4" xfId="0" applyFont="1" applyFill="1" applyBorder="1" applyAlignment="1">
      <alignment horizontal="center" vertical="center"/>
    </xf>
    <xf numFmtId="2" fontId="34" fillId="11" borderId="4" xfId="0" applyNumberFormat="1" applyFont="1" applyFill="1" applyBorder="1" applyAlignment="1">
      <alignment horizontal="center"/>
    </xf>
    <xf numFmtId="4" fontId="34" fillId="11" borderId="4" xfId="0" applyNumberFormat="1" applyFont="1" applyFill="1" applyBorder="1" applyAlignment="1">
      <alignment horizontal="center"/>
    </xf>
    <xf numFmtId="4" fontId="18" fillId="12" borderId="4" xfId="0" applyNumberFormat="1" applyFont="1" applyFill="1" applyBorder="1" applyAlignment="1">
      <alignment horizontal="center"/>
    </xf>
    <xf numFmtId="4" fontId="18" fillId="12" borderId="35" xfId="0" applyNumberFormat="1" applyFont="1" applyFill="1" applyBorder="1" applyAlignment="1">
      <alignment horizontal="center" vertical="center"/>
    </xf>
    <xf numFmtId="0" fontId="24" fillId="3" borderId="0" xfId="0" applyFont="1" applyFill="1"/>
    <xf numFmtId="0" fontId="1" fillId="0" borderId="4" xfId="0" applyFont="1" applyFill="1" applyBorder="1" applyAlignment="1">
      <alignment horizontal="left" indent="1"/>
    </xf>
    <xf numFmtId="0" fontId="5" fillId="0" borderId="51" xfId="0" applyFont="1" applyFill="1" applyBorder="1" applyAlignment="1">
      <alignment vertical="center" wrapText="1"/>
    </xf>
    <xf numFmtId="0" fontId="5" fillId="8" borderId="51" xfId="0" applyFont="1" applyFill="1" applyBorder="1" applyAlignment="1">
      <alignment vertical="center" wrapText="1"/>
    </xf>
    <xf numFmtId="168" fontId="18" fillId="3" borderId="51" xfId="0" applyNumberFormat="1" applyFont="1" applyFill="1" applyBorder="1" applyAlignment="1">
      <alignment vertical="center" wrapText="1"/>
    </xf>
    <xf numFmtId="4" fontId="7" fillId="5" borderId="47" xfId="0" applyNumberFormat="1" applyFont="1" applyFill="1" applyBorder="1" applyAlignment="1">
      <alignment horizontal="center" vertical="center"/>
    </xf>
    <xf numFmtId="0" fontId="7" fillId="18" borderId="5" xfId="0" applyFont="1" applyFill="1" applyBorder="1" applyAlignment="1" applyProtection="1">
      <alignment horizontal="right" vertical="center"/>
    </xf>
    <xf numFmtId="0" fontId="7" fillId="18" borderId="52" xfId="0" applyFont="1" applyFill="1" applyBorder="1" applyAlignment="1" applyProtection="1">
      <alignment horizontal="right" vertical="center"/>
    </xf>
    <xf numFmtId="0" fontId="7" fillId="18" borderId="52" xfId="0" applyFont="1" applyFill="1" applyBorder="1" applyAlignment="1">
      <alignment horizontal="right" vertical="center"/>
    </xf>
    <xf numFmtId="0" fontId="7" fillId="18" borderId="53" xfId="0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 wrapText="1"/>
    </xf>
    <xf numFmtId="10" fontId="7" fillId="7" borderId="4" xfId="0" applyNumberFormat="1" applyFont="1" applyFill="1" applyBorder="1" applyAlignment="1">
      <alignment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7" xfId="0" applyFont="1" applyFill="1" applyBorder="1"/>
    <xf numFmtId="0" fontId="7" fillId="9" borderId="6" xfId="0" applyFont="1" applyFill="1" applyBorder="1"/>
    <xf numFmtId="0" fontId="7" fillId="9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wrapText="1"/>
    </xf>
    <xf numFmtId="0" fontId="7" fillId="9" borderId="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164" fontId="7" fillId="9" borderId="4" xfId="0" applyNumberFormat="1" applyFont="1" applyFill="1" applyBorder="1" applyAlignment="1">
      <alignment horizontal="center" vertical="center"/>
    </xf>
    <xf numFmtId="164" fontId="18" fillId="9" borderId="4" xfId="0" quotePrefix="1" applyNumberFormat="1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 wrapText="1"/>
    </xf>
    <xf numFmtId="0" fontId="24" fillId="16" borderId="36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24" fillId="16" borderId="37" xfId="0" applyFont="1" applyFill="1" applyBorder="1" applyAlignment="1">
      <alignment horizontal="center" vertical="center" wrapText="1"/>
    </xf>
    <xf numFmtId="0" fontId="24" fillId="16" borderId="38" xfId="0" applyFont="1" applyFill="1" applyBorder="1" applyAlignment="1">
      <alignment horizontal="center"/>
    </xf>
    <xf numFmtId="0" fontId="5" fillId="9" borderId="7" xfId="0" applyFont="1" applyFill="1" applyBorder="1"/>
    <xf numFmtId="0" fontId="5" fillId="9" borderId="6" xfId="0" applyFont="1" applyFill="1" applyBorder="1"/>
    <xf numFmtId="0" fontId="24" fillId="16" borderId="39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wrapText="1"/>
    </xf>
    <xf numFmtId="0" fontId="5" fillId="9" borderId="6" xfId="0" applyFont="1" applyFill="1" applyBorder="1" applyAlignment="1">
      <alignment wrapText="1"/>
    </xf>
    <xf numFmtId="0" fontId="24" fillId="16" borderId="1" xfId="0" applyFont="1" applyFill="1" applyBorder="1" applyAlignment="1">
      <alignment horizontal="center" wrapText="1"/>
    </xf>
    <xf numFmtId="0" fontId="5" fillId="14" borderId="0" xfId="0" applyFont="1" applyFill="1"/>
    <xf numFmtId="0" fontId="5" fillId="9" borderId="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vertical="center" wrapText="1"/>
    </xf>
    <xf numFmtId="0" fontId="24" fillId="16" borderId="41" xfId="0" applyFont="1" applyFill="1" applyBorder="1" applyAlignment="1">
      <alignment horizontal="center" vertical="center"/>
    </xf>
    <xf numFmtId="0" fontId="24" fillId="16" borderId="0" xfId="0" applyFont="1" applyFill="1" applyAlignment="1">
      <alignment horizontal="center" vertical="center"/>
    </xf>
    <xf numFmtId="0" fontId="24" fillId="16" borderId="41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wrapText="1"/>
    </xf>
    <xf numFmtId="0" fontId="24" fillId="16" borderId="3" xfId="0" applyFont="1" applyFill="1" applyBorder="1" applyAlignment="1">
      <alignment horizontal="center" vertical="center"/>
    </xf>
    <xf numFmtId="0" fontId="24" fillId="16" borderId="2" xfId="0" applyFont="1" applyFill="1" applyBorder="1" applyAlignment="1">
      <alignment horizontal="center" vertical="center"/>
    </xf>
    <xf numFmtId="0" fontId="24" fillId="16" borderId="42" xfId="0" applyFont="1" applyFill="1" applyBorder="1" applyAlignment="1">
      <alignment horizontal="center" vertical="center"/>
    </xf>
    <xf numFmtId="2" fontId="7" fillId="16" borderId="42" xfId="0" applyNumberFormat="1" applyFont="1" applyFill="1" applyBorder="1" applyAlignment="1">
      <alignment horizontal="center" vertical="center"/>
    </xf>
    <xf numFmtId="11" fontId="5" fillId="16" borderId="42" xfId="0" applyNumberFormat="1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wrapText="1"/>
    </xf>
    <xf numFmtId="0" fontId="5" fillId="17" borderId="42" xfId="0" applyFont="1" applyFill="1" applyBorder="1" applyAlignment="1">
      <alignment horizontal="center"/>
    </xf>
    <xf numFmtId="1" fontId="7" fillId="17" borderId="42" xfId="0" applyNumberFormat="1" applyFont="1" applyFill="1" applyBorder="1" applyAlignment="1">
      <alignment horizontal="center" vertical="center"/>
    </xf>
    <xf numFmtId="1" fontId="18" fillId="14" borderId="42" xfId="0" applyNumberFormat="1" applyFont="1" applyFill="1" applyBorder="1" applyAlignment="1">
      <alignment horizontal="center" vertical="center"/>
    </xf>
    <xf numFmtId="4" fontId="18" fillId="14" borderId="42" xfId="0" applyNumberFormat="1" applyFont="1" applyFill="1" applyBorder="1" applyAlignment="1">
      <alignment horizontal="center" vertical="center"/>
    </xf>
    <xf numFmtId="2" fontId="7" fillId="17" borderId="42" xfId="0" applyNumberFormat="1" applyFont="1" applyFill="1" applyBorder="1" applyAlignment="1">
      <alignment horizontal="center" vertical="center"/>
    </xf>
    <xf numFmtId="4" fontId="7" fillId="17" borderId="42" xfId="0" applyNumberFormat="1" applyFont="1" applyFill="1" applyBorder="1" applyAlignment="1">
      <alignment horizontal="center" vertical="center"/>
    </xf>
    <xf numFmtId="0" fontId="5" fillId="16" borderId="42" xfId="0" applyFont="1" applyFill="1" applyBorder="1" applyAlignment="1">
      <alignment horizontal="center" vertical="center"/>
    </xf>
    <xf numFmtId="2" fontId="18" fillId="14" borderId="42" xfId="0" applyNumberFormat="1" applyFont="1" applyFill="1" applyBorder="1" applyAlignment="1">
      <alignment horizontal="center" vertical="center"/>
    </xf>
    <xf numFmtId="11" fontId="18" fillId="14" borderId="42" xfId="0" applyNumberFormat="1" applyFont="1" applyFill="1" applyBorder="1" applyAlignment="1">
      <alignment horizontal="center" vertical="center"/>
    </xf>
    <xf numFmtId="11" fontId="18" fillId="14" borderId="42" xfId="0" applyNumberFormat="1" applyFont="1" applyFill="1" applyBorder="1" applyAlignment="1">
      <alignment horizontal="center"/>
    </xf>
    <xf numFmtId="1" fontId="7" fillId="8" borderId="42" xfId="0" quotePrefix="1" applyNumberFormat="1" applyFont="1" applyFill="1" applyBorder="1" applyAlignment="1">
      <alignment horizontal="center" vertical="center"/>
    </xf>
    <xf numFmtId="2" fontId="7" fillId="8" borderId="42" xfId="0" applyNumberFormat="1" applyFont="1" applyFill="1" applyBorder="1" applyAlignment="1">
      <alignment horizontal="center" vertical="center"/>
    </xf>
    <xf numFmtId="4" fontId="7" fillId="8" borderId="42" xfId="0" applyNumberFormat="1" applyFont="1" applyFill="1" applyBorder="1" applyAlignment="1">
      <alignment horizontal="center" vertical="center"/>
    </xf>
    <xf numFmtId="0" fontId="5" fillId="16" borderId="5" xfId="0" applyFont="1" applyFill="1" applyBorder="1"/>
    <xf numFmtId="0" fontId="5" fillId="16" borderId="52" xfId="0" applyFont="1" applyFill="1" applyBorder="1"/>
    <xf numFmtId="0" fontId="5" fillId="16" borderId="53" xfId="0" applyFont="1" applyFill="1" applyBorder="1" applyAlignment="1">
      <alignment horizontal="center"/>
    </xf>
    <xf numFmtId="2" fontId="18" fillId="14" borderId="4" xfId="0" applyNumberFormat="1" applyFont="1" applyFill="1" applyBorder="1" applyAlignment="1">
      <alignment horizontal="center"/>
    </xf>
    <xf numFmtId="0" fontId="5" fillId="14" borderId="0" xfId="0" applyFont="1" applyFill="1" applyAlignment="1">
      <alignment vertical="center"/>
    </xf>
    <xf numFmtId="0" fontId="5" fillId="14" borderId="0" xfId="0" applyFont="1" applyFill="1" applyAlignment="1">
      <alignment vertical="center"/>
    </xf>
    <xf numFmtId="0" fontId="24" fillId="14" borderId="0" xfId="0" applyFont="1" applyFill="1" applyAlignment="1">
      <alignment vertical="center"/>
    </xf>
    <xf numFmtId="166" fontId="5" fillId="9" borderId="41" xfId="0" applyNumberFormat="1" applyFont="1" applyFill="1" applyBorder="1" applyAlignment="1">
      <alignment horizontal="center" vertical="center"/>
    </xf>
    <xf numFmtId="0" fontId="5" fillId="15" borderId="49" xfId="0" applyFont="1" applyFill="1" applyBorder="1" applyAlignment="1">
      <alignment horizontal="center" vertical="center"/>
    </xf>
    <xf numFmtId="0" fontId="5" fillId="15" borderId="4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/>
    <xf numFmtId="0" fontId="5" fillId="3" borderId="45" xfId="0" applyFont="1" applyFill="1" applyBorder="1"/>
    <xf numFmtId="0" fontId="5" fillId="3" borderId="46" xfId="0" applyFont="1" applyFill="1" applyBorder="1" applyAlignment="1">
      <alignment vertical="center"/>
    </xf>
    <xf numFmtId="0" fontId="5" fillId="3" borderId="47" xfId="0" applyFont="1" applyFill="1" applyBorder="1" applyAlignment="1">
      <alignment vertical="center"/>
    </xf>
    <xf numFmtId="0" fontId="5" fillId="3" borderId="48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164" fontId="5" fillId="3" borderId="41" xfId="0" applyNumberFormat="1" applyFont="1" applyFill="1" applyBorder="1" applyAlignment="1">
      <alignment horizontal="center" vertical="center"/>
    </xf>
    <xf numFmtId="165" fontId="5" fillId="3" borderId="41" xfId="0" applyNumberFormat="1" applyFont="1" applyFill="1" applyBorder="1" applyAlignment="1">
      <alignment horizontal="center" vertical="center"/>
    </xf>
    <xf numFmtId="173" fontId="5" fillId="3" borderId="41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2" fontId="5" fillId="3" borderId="41" xfId="0" applyNumberFormat="1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 wrapText="1"/>
    </xf>
    <xf numFmtId="166" fontId="5" fillId="3" borderId="41" xfId="0" applyNumberFormat="1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/>
    </xf>
    <xf numFmtId="180" fontId="5" fillId="3" borderId="41" xfId="0" applyNumberFormat="1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right" vertical="center"/>
    </xf>
    <xf numFmtId="0" fontId="5" fillId="3" borderId="47" xfId="0" applyFont="1" applyFill="1" applyBorder="1" applyAlignment="1">
      <alignment horizontal="right" vertical="center"/>
    </xf>
    <xf numFmtId="2" fontId="24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8" borderId="51" xfId="0" applyFont="1" applyFill="1" applyBorder="1" applyAlignment="1">
      <alignment vertical="center" wrapText="1"/>
    </xf>
    <xf numFmtId="181" fontId="7" fillId="9" borderId="4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 applyProtection="1">
      <alignment vertical="center"/>
    </xf>
    <xf numFmtId="0" fontId="35" fillId="13" borderId="4" xfId="0" applyFont="1" applyFill="1" applyBorder="1" applyAlignment="1">
      <alignment horizontal="left" vertical="center" wrapText="1"/>
    </xf>
    <xf numFmtId="0" fontId="5" fillId="8" borderId="4" xfId="0" applyFont="1" applyFill="1" applyBorder="1"/>
    <xf numFmtId="2" fontId="5" fillId="8" borderId="4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35" fillId="13" borderId="53" xfId="0" applyFont="1" applyFill="1" applyBorder="1" applyAlignment="1">
      <alignment horizontal="center" vertical="center" wrapText="1"/>
    </xf>
    <xf numFmtId="0" fontId="5" fillId="8" borderId="4" xfId="0" quotePrefix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3" fontId="5" fillId="8" borderId="4" xfId="0" quotePrefix="1" applyNumberFormat="1" applyFont="1" applyFill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0" fontId="5" fillId="8" borderId="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3">
    <cellStyle name="Normal" xfId="0" builtinId="0"/>
    <cellStyle name="Normal_Misc Emissions" xfId="2" xr:uid="{A2E0DD15-E23A-4B4A-ABE9-03E3F6C5887E}"/>
    <cellStyle name="Normal_Sm99ei" xfId="1" xr:uid="{6DBEB123-00F1-9542-B57B-28C5D6056721}"/>
  </cellStyles>
  <dxfs count="0"/>
  <tableStyles count="0" defaultTableStyle="Table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E%20Calc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Kiln #1 (P003)"/>
      <sheetName val="Kiln #2 (P004)"/>
      <sheetName val="Unpaved Roadways (F001)"/>
      <sheetName val="Paved Roadways (F001)"/>
      <sheetName val="Storage Piles (F002)"/>
      <sheetName val="Limestone Handling (F003)"/>
      <sheetName val="Product #1 (P001)"/>
      <sheetName val="Product #2 (P002) (Mod)"/>
      <sheetName val="Solid Fuel (P901)"/>
      <sheetName val="Common Product (P902)"/>
      <sheetName val="Loadout #1 (P903)"/>
      <sheetName val="Loadout #2 (P904)"/>
      <sheetName val="Kiln Dust (P905)"/>
      <sheetName val="Transloader (P907)"/>
      <sheetName val="Diesel Engines"/>
      <sheetName val="Insignificant EU"/>
      <sheetName val="Input Page"/>
      <sheetName val="Roadway Assumptions"/>
      <sheetName val="Note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7">
          <cell r="F27">
            <v>10</v>
          </cell>
        </row>
        <row r="28">
          <cell r="F28">
            <v>0.2</v>
          </cell>
        </row>
        <row r="29">
          <cell r="F29">
            <v>235</v>
          </cell>
        </row>
      </sheetData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59250-7135-D840-B908-CE1C34362C47}">
  <sheetPr>
    <pageSetUpPr fitToPage="1"/>
  </sheetPr>
  <dimension ref="A1:B14"/>
  <sheetViews>
    <sheetView tabSelected="1" workbookViewId="0"/>
  </sheetViews>
  <sheetFormatPr baseColWidth="10" defaultRowHeight="13"/>
  <cols>
    <col min="1" max="16384" width="10.83203125" style="167"/>
  </cols>
  <sheetData>
    <row r="1" spans="1:2">
      <c r="A1" s="170" t="s">
        <v>220</v>
      </c>
    </row>
    <row r="3" spans="1:2">
      <c r="A3" s="166" t="s">
        <v>221</v>
      </c>
      <c r="B3" s="166" t="s">
        <v>222</v>
      </c>
    </row>
    <row r="5" spans="1:2">
      <c r="A5" s="166" t="s">
        <v>223</v>
      </c>
      <c r="B5" s="166" t="s">
        <v>224</v>
      </c>
    </row>
    <row r="6" spans="1:2">
      <c r="B6" s="168" t="s">
        <v>225</v>
      </c>
    </row>
    <row r="8" spans="1:2">
      <c r="B8" s="166" t="s">
        <v>226</v>
      </c>
    </row>
    <row r="9" spans="1:2">
      <c r="B9" s="168" t="s">
        <v>227</v>
      </c>
    </row>
    <row r="11" spans="1:2">
      <c r="B11" s="167" t="s">
        <v>228</v>
      </c>
    </row>
    <row r="12" spans="1:2">
      <c r="B12" s="169" t="s">
        <v>229</v>
      </c>
    </row>
    <row r="13" spans="1:2">
      <c r="B13" s="169" t="s">
        <v>230</v>
      </c>
    </row>
    <row r="14" spans="1:2">
      <c r="B14" s="169" t="s">
        <v>231</v>
      </c>
    </row>
  </sheetData>
  <pageMargins left="0.7" right="0.7" top="0.75" bottom="0.75" header="0.3" footer="0.3"/>
  <pageSetup scale="98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7CBB-C422-6D47-80D8-C67390C4826B}">
  <sheetPr>
    <pageSetUpPr fitToPage="1"/>
  </sheetPr>
  <dimension ref="A1:M54"/>
  <sheetViews>
    <sheetView workbookViewId="0">
      <selection activeCell="A3" sqref="A3"/>
    </sheetView>
  </sheetViews>
  <sheetFormatPr baseColWidth="10" defaultRowHeight="16"/>
  <cols>
    <col min="1" max="1" width="25.33203125" style="227" customWidth="1"/>
    <col min="2" max="2" width="10.83203125" style="227"/>
    <col min="3" max="3" width="13.5" style="227" customWidth="1"/>
    <col min="4" max="7" width="10.83203125" style="227"/>
    <col min="8" max="8" width="13.1640625" style="227" customWidth="1"/>
    <col min="9" max="10" width="10.83203125" style="227"/>
    <col min="11" max="11" width="16" style="227" customWidth="1"/>
    <col min="12" max="16384" width="10.83203125" style="227"/>
  </cols>
  <sheetData>
    <row r="1" spans="1:13">
      <c r="A1" s="226" t="s">
        <v>271</v>
      </c>
    </row>
    <row r="2" spans="1:13">
      <c r="A2" s="214"/>
    </row>
    <row r="3" spans="1:13">
      <c r="A3" s="227" t="s">
        <v>390</v>
      </c>
    </row>
    <row r="5" spans="1:13" ht="17">
      <c r="A5" s="291" t="s">
        <v>252</v>
      </c>
      <c r="B5" s="289" t="s">
        <v>253</v>
      </c>
      <c r="C5" s="289" t="s">
        <v>254</v>
      </c>
      <c r="D5" s="290" t="s">
        <v>255</v>
      </c>
      <c r="E5" s="290" t="s">
        <v>255</v>
      </c>
      <c r="F5" s="289" t="s">
        <v>256</v>
      </c>
      <c r="G5" s="290" t="s">
        <v>257</v>
      </c>
      <c r="H5" s="290" t="s">
        <v>258</v>
      </c>
      <c r="I5" s="289" t="s">
        <v>259</v>
      </c>
      <c r="J5" s="289" t="s">
        <v>272</v>
      </c>
      <c r="K5" s="290" t="s">
        <v>258</v>
      </c>
      <c r="L5" s="289" t="s">
        <v>259</v>
      </c>
      <c r="M5" s="289" t="s">
        <v>272</v>
      </c>
    </row>
    <row r="6" spans="1:13" ht="34">
      <c r="A6" s="292"/>
      <c r="B6" s="289"/>
      <c r="C6" s="289"/>
      <c r="D6" s="290" t="s">
        <v>260</v>
      </c>
      <c r="E6" s="290" t="s">
        <v>261</v>
      </c>
      <c r="F6" s="289"/>
      <c r="G6" s="290" t="s">
        <v>262</v>
      </c>
      <c r="H6" s="290" t="s">
        <v>263</v>
      </c>
      <c r="I6" s="289"/>
      <c r="J6" s="289"/>
      <c r="K6" s="290" t="s">
        <v>264</v>
      </c>
      <c r="L6" s="289"/>
      <c r="M6" s="289"/>
    </row>
    <row r="7" spans="1:13" ht="17">
      <c r="A7" s="308"/>
      <c r="B7" s="290" t="s">
        <v>265</v>
      </c>
      <c r="C7" s="290" t="s">
        <v>266</v>
      </c>
      <c r="D7" s="290" t="s">
        <v>117</v>
      </c>
      <c r="E7" s="290" t="s">
        <v>267</v>
      </c>
      <c r="F7" s="290" t="s">
        <v>267</v>
      </c>
      <c r="G7" s="290" t="s">
        <v>267</v>
      </c>
      <c r="H7" s="290" t="s">
        <v>268</v>
      </c>
      <c r="I7" s="290" t="s">
        <v>266</v>
      </c>
      <c r="J7" s="290" t="s">
        <v>266</v>
      </c>
      <c r="K7" s="290" t="s">
        <v>269</v>
      </c>
      <c r="L7" s="290" t="s">
        <v>266</v>
      </c>
      <c r="M7" s="290" t="s">
        <v>266</v>
      </c>
    </row>
    <row r="8" spans="1:13" ht="17">
      <c r="A8" s="295" t="s">
        <v>286</v>
      </c>
      <c r="B8" s="300"/>
      <c r="C8" s="302"/>
      <c r="D8" s="300"/>
      <c r="E8" s="304"/>
      <c r="F8" s="304"/>
      <c r="G8" s="304"/>
      <c r="H8" s="309" t="e">
        <f>0.74*0.0032*(($D$36/5)^1.3)/(($G8/2)^1.4)</f>
        <v>#DIV/0!</v>
      </c>
      <c r="I8" s="310" t="e">
        <f t="shared" ref="I8:I20" si="0">ROUND(C8*H8/2000,2)</f>
        <v>#DIV/0!</v>
      </c>
      <c r="J8" s="310" t="e">
        <f t="shared" ref="J8:J18" si="1">I8*0.5</f>
        <v>#DIV/0!</v>
      </c>
      <c r="K8" s="309" t="e">
        <f>0.35*0.0032*(($D$36/5)^1.3)/(($G8/2)^1.4)</f>
        <v>#DIV/0!</v>
      </c>
      <c r="L8" s="310" t="e">
        <f t="shared" ref="L8:L20" si="2">ROUND(B8*K8*365/2000*(1-0.8),2)</f>
        <v>#DIV/0!</v>
      </c>
      <c r="M8" s="310" t="e">
        <f t="shared" ref="M8:M18" si="3">L8*0.5</f>
        <v>#DIV/0!</v>
      </c>
    </row>
    <row r="9" spans="1:13" ht="17">
      <c r="A9" s="295" t="s">
        <v>287</v>
      </c>
      <c r="B9" s="300"/>
      <c r="C9" s="302"/>
      <c r="D9" s="300"/>
      <c r="E9" s="304"/>
      <c r="F9" s="304"/>
      <c r="G9" s="304"/>
      <c r="H9" s="309" t="e">
        <f>0.74*0.0032*(($D$36/5)^1.3)/(($G9/2)^1.4)</f>
        <v>#DIV/0!</v>
      </c>
      <c r="I9" s="310" t="e">
        <f t="shared" si="0"/>
        <v>#DIV/0!</v>
      </c>
      <c r="J9" s="310" t="e">
        <f t="shared" si="1"/>
        <v>#DIV/0!</v>
      </c>
      <c r="K9" s="309" t="e">
        <f>0.35*0.0032*(($D$36/5)^1.3)/(($G9/2)^1.4)</f>
        <v>#DIV/0!</v>
      </c>
      <c r="L9" s="310" t="e">
        <f t="shared" si="2"/>
        <v>#DIV/0!</v>
      </c>
      <c r="M9" s="310" t="e">
        <f t="shared" si="3"/>
        <v>#DIV/0!</v>
      </c>
    </row>
    <row r="10" spans="1:13" ht="17">
      <c r="A10" s="295" t="s">
        <v>288</v>
      </c>
      <c r="B10" s="300"/>
      <c r="C10" s="302"/>
      <c r="D10" s="300"/>
      <c r="E10" s="304"/>
      <c r="F10" s="304"/>
      <c r="G10" s="304"/>
      <c r="H10" s="309" t="e">
        <f>0.74*0.0032*(($D$36/5)^1.3)/(($G10/2)^1.4)</f>
        <v>#DIV/0!</v>
      </c>
      <c r="I10" s="310" t="e">
        <f t="shared" si="0"/>
        <v>#DIV/0!</v>
      </c>
      <c r="J10" s="306" t="e">
        <f t="shared" si="1"/>
        <v>#DIV/0!</v>
      </c>
      <c r="K10" s="309" t="e">
        <f>0.35*0.0032*(($D$36/5)^1.3)/(($G10/2)^1.4)</f>
        <v>#DIV/0!</v>
      </c>
      <c r="L10" s="310" t="e">
        <f t="shared" si="2"/>
        <v>#DIV/0!</v>
      </c>
      <c r="M10" s="306" t="e">
        <f t="shared" si="3"/>
        <v>#DIV/0!</v>
      </c>
    </row>
    <row r="11" spans="1:13">
      <c r="A11" s="295"/>
      <c r="B11" s="300"/>
      <c r="C11" s="302"/>
      <c r="D11" s="300"/>
      <c r="E11" s="304"/>
      <c r="F11" s="304"/>
      <c r="G11" s="304"/>
      <c r="H11" s="309" t="e">
        <f>0.74*0.0032*(($D$36/5)^1.3)/(($G11/2)^1.4)</f>
        <v>#DIV/0!</v>
      </c>
      <c r="I11" s="310" t="e">
        <f t="shared" si="0"/>
        <v>#DIV/0!</v>
      </c>
      <c r="J11" s="306" t="e">
        <f t="shared" si="1"/>
        <v>#DIV/0!</v>
      </c>
      <c r="K11" s="309" t="e">
        <f>0.35*0.0032*(($D$36/5)^1.3)/(($G11/2)^1.4)</f>
        <v>#DIV/0!</v>
      </c>
      <c r="L11" s="310" t="e">
        <f t="shared" si="2"/>
        <v>#DIV/0!</v>
      </c>
      <c r="M11" s="306" t="e">
        <f t="shared" si="3"/>
        <v>#DIV/0!</v>
      </c>
    </row>
    <row r="12" spans="1:13">
      <c r="A12" s="295"/>
      <c r="B12" s="300"/>
      <c r="C12" s="302"/>
      <c r="D12" s="300"/>
      <c r="E12" s="304"/>
      <c r="F12" s="304"/>
      <c r="G12" s="304"/>
      <c r="H12" s="309" t="e">
        <f>0.74*0.0032*(($D$36/5)^1.3)/(($G12/2)^1.4)</f>
        <v>#DIV/0!</v>
      </c>
      <c r="I12" s="310" t="e">
        <f t="shared" si="0"/>
        <v>#DIV/0!</v>
      </c>
      <c r="J12" s="306" t="e">
        <f t="shared" si="1"/>
        <v>#DIV/0!</v>
      </c>
      <c r="K12" s="309" t="e">
        <f>0.35*0.0032*(($D$36/5)^1.3)/(($G12/2)^1.4)</f>
        <v>#DIV/0!</v>
      </c>
      <c r="L12" s="310" t="e">
        <f t="shared" si="2"/>
        <v>#DIV/0!</v>
      </c>
      <c r="M12" s="306" t="e">
        <f t="shared" si="3"/>
        <v>#DIV/0!</v>
      </c>
    </row>
    <row r="13" spans="1:13">
      <c r="A13" s="295"/>
      <c r="B13" s="300"/>
      <c r="C13" s="302"/>
      <c r="D13" s="300"/>
      <c r="E13" s="304"/>
      <c r="F13" s="304"/>
      <c r="G13" s="304"/>
      <c r="H13" s="309" t="e">
        <f>0.74*0.0032*(($D$36/5)^1.3)/(($G13/2)^1.4)</f>
        <v>#DIV/0!</v>
      </c>
      <c r="I13" s="310" t="e">
        <f t="shared" si="0"/>
        <v>#DIV/0!</v>
      </c>
      <c r="J13" s="306" t="e">
        <f t="shared" si="1"/>
        <v>#DIV/0!</v>
      </c>
      <c r="K13" s="309" t="e">
        <f>0.35*0.0032*(($D$36/5)^1.3)/(($G13/2)^1.4)</f>
        <v>#DIV/0!</v>
      </c>
      <c r="L13" s="310" t="e">
        <f t="shared" si="2"/>
        <v>#DIV/0!</v>
      </c>
      <c r="M13" s="306" t="e">
        <f t="shared" si="3"/>
        <v>#DIV/0!</v>
      </c>
    </row>
    <row r="14" spans="1:13">
      <c r="A14" s="295"/>
      <c r="B14" s="300"/>
      <c r="C14" s="302"/>
      <c r="D14" s="300"/>
      <c r="E14" s="304"/>
      <c r="F14" s="304"/>
      <c r="G14" s="304"/>
      <c r="H14" s="309" t="e">
        <f>0.74*0.0032*(($D$36/5)^1.3)/(($G14/2)^1.4)</f>
        <v>#DIV/0!</v>
      </c>
      <c r="I14" s="310" t="e">
        <f t="shared" si="0"/>
        <v>#DIV/0!</v>
      </c>
      <c r="J14" s="306" t="e">
        <f t="shared" si="1"/>
        <v>#DIV/0!</v>
      </c>
      <c r="K14" s="309" t="e">
        <f>0.35*0.0032*(($D$36/5)^1.3)/(($G14/2)^1.4)</f>
        <v>#DIV/0!</v>
      </c>
      <c r="L14" s="310" t="e">
        <f t="shared" si="2"/>
        <v>#DIV/0!</v>
      </c>
      <c r="M14" s="306" t="e">
        <f t="shared" si="3"/>
        <v>#DIV/0!</v>
      </c>
    </row>
    <row r="15" spans="1:13">
      <c r="A15" s="295"/>
      <c r="B15" s="300"/>
      <c r="C15" s="302"/>
      <c r="D15" s="300"/>
      <c r="E15" s="304"/>
      <c r="F15" s="304"/>
      <c r="G15" s="304"/>
      <c r="H15" s="309" t="e">
        <f>0.74*0.0032*(($D$36/5)^1.3)/(($G15/2)^1.4)</f>
        <v>#DIV/0!</v>
      </c>
      <c r="I15" s="310" t="e">
        <f t="shared" si="0"/>
        <v>#DIV/0!</v>
      </c>
      <c r="J15" s="306" t="e">
        <f t="shared" si="1"/>
        <v>#DIV/0!</v>
      </c>
      <c r="K15" s="309" t="e">
        <f>0.35*0.0032*(($D$36/5)^1.3)/(($G15/2)^1.4)</f>
        <v>#DIV/0!</v>
      </c>
      <c r="L15" s="310" t="e">
        <f t="shared" si="2"/>
        <v>#DIV/0!</v>
      </c>
      <c r="M15" s="306" t="e">
        <f t="shared" si="3"/>
        <v>#DIV/0!</v>
      </c>
    </row>
    <row r="16" spans="1:13">
      <c r="A16" s="295"/>
      <c r="B16" s="300"/>
      <c r="C16" s="300"/>
      <c r="D16" s="300"/>
      <c r="E16" s="304"/>
      <c r="F16" s="304"/>
      <c r="G16" s="304"/>
      <c r="H16" s="309" t="e">
        <f>0.74*0.0032*(($D$36/5)^1.3)/(($G16/2)^1.4)</f>
        <v>#DIV/0!</v>
      </c>
      <c r="I16" s="310" t="e">
        <f t="shared" si="0"/>
        <v>#DIV/0!</v>
      </c>
      <c r="J16" s="306" t="e">
        <f t="shared" si="1"/>
        <v>#DIV/0!</v>
      </c>
      <c r="K16" s="309" t="e">
        <f>0.35*0.0032*(($D$36/5)^1.3)/(($G16/2)^1.4)</f>
        <v>#DIV/0!</v>
      </c>
      <c r="L16" s="310" t="e">
        <f t="shared" si="2"/>
        <v>#DIV/0!</v>
      </c>
      <c r="M16" s="306" t="e">
        <f t="shared" si="3"/>
        <v>#DIV/0!</v>
      </c>
    </row>
    <row r="17" spans="1:13">
      <c r="A17" s="295"/>
      <c r="B17" s="300"/>
      <c r="C17" s="300"/>
      <c r="D17" s="300"/>
      <c r="E17" s="304"/>
      <c r="F17" s="304"/>
      <c r="G17" s="304"/>
      <c r="H17" s="309" t="e">
        <f>0.74*0.0032*(($D$36/5)^1.3)/(($G17/2)^1.4)</f>
        <v>#DIV/0!</v>
      </c>
      <c r="I17" s="310" t="e">
        <f t="shared" si="0"/>
        <v>#DIV/0!</v>
      </c>
      <c r="J17" s="306" t="e">
        <f t="shared" si="1"/>
        <v>#DIV/0!</v>
      </c>
      <c r="K17" s="309" t="e">
        <f>0.35*0.0032*(($D$36/5)^1.3)/(($G17/2)^1.4)</f>
        <v>#DIV/0!</v>
      </c>
      <c r="L17" s="310" t="e">
        <f t="shared" si="2"/>
        <v>#DIV/0!</v>
      </c>
      <c r="M17" s="306" t="e">
        <f t="shared" si="3"/>
        <v>#DIV/0!</v>
      </c>
    </row>
    <row r="18" spans="1:13">
      <c r="A18" s="295"/>
      <c r="B18" s="300"/>
      <c r="C18" s="300"/>
      <c r="D18" s="300"/>
      <c r="E18" s="304"/>
      <c r="F18" s="304"/>
      <c r="G18" s="304"/>
      <c r="H18" s="309" t="e">
        <f>0.74*0.0032*(($D$36/5)^1.3)/(($G18/2)^1.4)</f>
        <v>#DIV/0!</v>
      </c>
      <c r="I18" s="310" t="e">
        <f t="shared" si="0"/>
        <v>#DIV/0!</v>
      </c>
      <c r="J18" s="306" t="e">
        <f t="shared" si="1"/>
        <v>#DIV/0!</v>
      </c>
      <c r="K18" s="309" t="e">
        <f>0.35*0.0032*(($D$36/5)^1.3)/(($G18/2)^1.4)</f>
        <v>#DIV/0!</v>
      </c>
      <c r="L18" s="310" t="e">
        <f t="shared" si="2"/>
        <v>#DIV/0!</v>
      </c>
      <c r="M18" s="306" t="e">
        <f t="shared" si="3"/>
        <v>#DIV/0!</v>
      </c>
    </row>
    <row r="19" spans="1:13">
      <c r="A19" s="295"/>
      <c r="B19" s="300"/>
      <c r="C19" s="302"/>
      <c r="D19" s="300"/>
      <c r="E19" s="304"/>
      <c r="F19" s="304"/>
      <c r="G19" s="304"/>
      <c r="H19" s="309" t="e">
        <f>0.74*0.0032*(($D$36/5)^1.3)/(($G19/2)^1.4)</f>
        <v>#DIV/0!</v>
      </c>
      <c r="I19" s="310" t="e">
        <f t="shared" si="0"/>
        <v>#DIV/0!</v>
      </c>
      <c r="J19" s="306" t="e">
        <f>I19*0.5</f>
        <v>#DIV/0!</v>
      </c>
      <c r="K19" s="309" t="e">
        <f>0.35*0.0032*(($D$36/5)^1.3)/(($G19/2)^1.4)</f>
        <v>#DIV/0!</v>
      </c>
      <c r="L19" s="310" t="e">
        <f t="shared" si="2"/>
        <v>#DIV/0!</v>
      </c>
      <c r="M19" s="306" t="e">
        <f>L19*0.5</f>
        <v>#DIV/0!</v>
      </c>
    </row>
    <row r="20" spans="1:13">
      <c r="A20" s="296"/>
      <c r="B20" s="301"/>
      <c r="C20" s="303"/>
      <c r="D20" s="301"/>
      <c r="E20" s="305"/>
      <c r="F20" s="305"/>
      <c r="G20" s="305"/>
      <c r="H20" s="311" t="e">
        <f>0.74*0.0032*(($D$36/5)^1.3)/(($G20/2)^1.4)</f>
        <v>#DIV/0!</v>
      </c>
      <c r="I20" s="310" t="e">
        <f t="shared" si="0"/>
        <v>#DIV/0!</v>
      </c>
      <c r="J20" s="306" t="e">
        <f>I20*0.5</f>
        <v>#DIV/0!</v>
      </c>
      <c r="K20" s="309" t="e">
        <f>0.35*0.0032*(($D$36/5)^1.3)/(($G20/2)^1.4)</f>
        <v>#DIV/0!</v>
      </c>
      <c r="L20" s="310" t="e">
        <f t="shared" si="2"/>
        <v>#DIV/0!</v>
      </c>
      <c r="M20" s="306" t="e">
        <f>L20*0.5</f>
        <v>#DIV/0!</v>
      </c>
    </row>
    <row r="21" spans="1:13" ht="17">
      <c r="A21" s="316" t="s">
        <v>270</v>
      </c>
      <c r="B21" s="317"/>
      <c r="C21" s="317"/>
      <c r="D21" s="317"/>
      <c r="E21" s="317"/>
      <c r="F21" s="317"/>
      <c r="G21" s="317"/>
      <c r="H21" s="318"/>
      <c r="I21" s="312" t="e">
        <f>SUM(I8:I20)</f>
        <v>#DIV/0!</v>
      </c>
      <c r="J21" s="310" t="e">
        <f>SUM(J8:J20)</f>
        <v>#DIV/0!</v>
      </c>
      <c r="K21" s="299"/>
      <c r="L21" s="310" t="e">
        <f>SUM(L8:L20)</f>
        <v>#DIV/0!</v>
      </c>
      <c r="M21" s="310" t="e">
        <f>SUM(M8:M20)</f>
        <v>#DIV/0!</v>
      </c>
    </row>
    <row r="22" spans="1:13">
      <c r="A22" s="294" t="s">
        <v>273</v>
      </c>
      <c r="B22" s="293"/>
      <c r="C22" s="293"/>
      <c r="D22" s="293"/>
      <c r="E22" s="293"/>
      <c r="F22" s="293"/>
      <c r="G22" s="293"/>
      <c r="H22" s="298"/>
      <c r="I22" s="315" t="e">
        <f>I21+L21</f>
        <v>#DIV/0!</v>
      </c>
      <c r="J22" s="313"/>
      <c r="K22" s="313"/>
      <c r="L22" s="313"/>
      <c r="M22" s="313"/>
    </row>
    <row r="23" spans="1:13" ht="18">
      <c r="A23" s="319" t="s">
        <v>274</v>
      </c>
      <c r="B23" s="297"/>
      <c r="C23" s="297"/>
      <c r="D23" s="297"/>
      <c r="E23" s="297"/>
      <c r="F23" s="297"/>
      <c r="G23" s="297"/>
      <c r="H23" s="297"/>
      <c r="I23" s="310" t="e">
        <f>J21+M21</f>
        <v>#DIV/0!</v>
      </c>
      <c r="J23" s="313"/>
      <c r="K23" s="313"/>
      <c r="L23" s="313"/>
      <c r="M23" s="313"/>
    </row>
    <row r="25" spans="1:13">
      <c r="A25" s="3" t="s">
        <v>275</v>
      </c>
    </row>
    <row r="26" spans="1:13" ht="18">
      <c r="A26" s="29" t="s">
        <v>289</v>
      </c>
    </row>
    <row r="27" spans="1:13">
      <c r="A27" s="29" t="s">
        <v>276</v>
      </c>
    </row>
    <row r="29" spans="1:13">
      <c r="A29" s="314" t="s">
        <v>277</v>
      </c>
      <c r="B29" s="3"/>
      <c r="C29" s="3"/>
    </row>
    <row r="30" spans="1:13">
      <c r="A30" s="3"/>
      <c r="B30" s="3"/>
      <c r="C30" s="3"/>
    </row>
    <row r="31" spans="1:13">
      <c r="A31" s="3" t="s">
        <v>278</v>
      </c>
      <c r="B31" s="3"/>
      <c r="C31" s="3"/>
    </row>
    <row r="32" spans="1:13" ht="18">
      <c r="A32" s="3" t="s">
        <v>290</v>
      </c>
      <c r="B32" s="3"/>
      <c r="C32" s="3"/>
    </row>
    <row r="33" spans="1:4">
      <c r="A33" s="3"/>
      <c r="B33" s="3"/>
      <c r="C33" s="3"/>
    </row>
    <row r="34" spans="1:4">
      <c r="A34" s="3" t="s">
        <v>279</v>
      </c>
      <c r="B34" s="3"/>
      <c r="C34" s="3"/>
    </row>
    <row r="35" spans="1:4" ht="18">
      <c r="A35" s="3" t="s">
        <v>291</v>
      </c>
      <c r="B35" s="3"/>
      <c r="C35" s="3"/>
    </row>
    <row r="36" spans="1:4">
      <c r="A36" s="3" t="s">
        <v>280</v>
      </c>
      <c r="B36" s="3"/>
      <c r="D36" s="307">
        <v>9.5</v>
      </c>
    </row>
    <row r="37" spans="1:4">
      <c r="A37" s="3" t="s">
        <v>281</v>
      </c>
      <c r="B37" s="3"/>
      <c r="C37" s="3"/>
    </row>
    <row r="39" spans="1:4">
      <c r="A39" s="314" t="s">
        <v>264</v>
      </c>
      <c r="B39" s="3"/>
      <c r="C39" s="3"/>
    </row>
    <row r="40" spans="1:4">
      <c r="A40" s="3"/>
      <c r="B40" s="3"/>
      <c r="C40" s="3"/>
    </row>
    <row r="41" spans="1:4">
      <c r="A41" s="3" t="s">
        <v>292</v>
      </c>
      <c r="B41" s="3"/>
      <c r="C41" s="3"/>
    </row>
    <row r="42" spans="1:4">
      <c r="A42" s="3" t="s">
        <v>282</v>
      </c>
      <c r="B42" s="3"/>
      <c r="C42" s="3"/>
    </row>
    <row r="43" spans="1:4">
      <c r="A43" s="3"/>
      <c r="B43" s="3"/>
      <c r="C43" s="3"/>
    </row>
    <row r="44" spans="1:4">
      <c r="A44" s="3" t="s">
        <v>279</v>
      </c>
      <c r="B44" s="3"/>
      <c r="C44" s="3"/>
    </row>
    <row r="45" spans="1:4">
      <c r="A45" s="3" t="s">
        <v>283</v>
      </c>
      <c r="B45" s="3"/>
      <c r="C45" s="3"/>
    </row>
    <row r="46" spans="1:4">
      <c r="A46" s="3" t="s">
        <v>284</v>
      </c>
      <c r="B46" s="3"/>
      <c r="C46" s="3"/>
    </row>
    <row r="47" spans="1:4">
      <c r="A47" s="3" t="s">
        <v>285</v>
      </c>
      <c r="B47" s="3"/>
      <c r="C47" s="3"/>
    </row>
    <row r="49" spans="1:10">
      <c r="A49" s="213" t="s">
        <v>243</v>
      </c>
      <c r="B49" s="214"/>
      <c r="C49" s="214"/>
      <c r="D49" s="214"/>
      <c r="E49" s="214"/>
      <c r="F49" s="214"/>
      <c r="G49" s="214"/>
      <c r="H49" s="214"/>
      <c r="I49" s="214"/>
      <c r="J49" s="214"/>
    </row>
    <row r="50" spans="1:10">
      <c r="A50" s="207" t="s">
        <v>244</v>
      </c>
      <c r="B50" s="208"/>
      <c r="C50" s="214"/>
      <c r="D50" s="214"/>
      <c r="E50" s="214"/>
      <c r="F50" s="214"/>
      <c r="G50" s="214"/>
      <c r="H50" s="214"/>
      <c r="I50" s="214"/>
      <c r="J50" s="214"/>
    </row>
    <row r="51" spans="1:10">
      <c r="A51" s="267"/>
      <c r="B51" s="214"/>
      <c r="C51" s="214"/>
      <c r="D51" s="214"/>
      <c r="E51" s="214"/>
      <c r="F51" s="214"/>
      <c r="G51" s="214"/>
      <c r="H51" s="214"/>
      <c r="I51" s="214"/>
      <c r="J51" s="214"/>
    </row>
    <row r="52" spans="1:10">
      <c r="A52" s="159" t="s">
        <v>114</v>
      </c>
      <c r="B52" s="159"/>
      <c r="C52" s="159"/>
      <c r="D52" s="159"/>
      <c r="E52" s="159"/>
      <c r="F52" s="159"/>
      <c r="G52" s="159"/>
      <c r="H52" s="159"/>
      <c r="I52" s="159"/>
      <c r="J52" s="159"/>
    </row>
    <row r="53" spans="1:10">
      <c r="A53" s="58"/>
      <c r="B53" s="58"/>
      <c r="C53" s="58"/>
      <c r="D53" s="58"/>
      <c r="E53" s="58"/>
      <c r="F53" s="58"/>
      <c r="G53" s="58"/>
      <c r="H53" s="58"/>
      <c r="I53" s="58"/>
      <c r="J53" s="58"/>
    </row>
    <row r="54" spans="1:10">
      <c r="A54" s="90" t="s">
        <v>153</v>
      </c>
      <c r="B54" s="113"/>
      <c r="C54" s="113"/>
      <c r="D54" s="113"/>
      <c r="E54" s="58"/>
      <c r="F54" s="58"/>
      <c r="G54" s="58"/>
      <c r="H54" s="58"/>
      <c r="I54" s="58"/>
      <c r="J54" s="58"/>
    </row>
  </sheetData>
  <mergeCells count="9">
    <mergeCell ref="A5:A7"/>
    <mergeCell ref="A52:J52"/>
    <mergeCell ref="L5:L6"/>
    <mergeCell ref="M5:M6"/>
    <mergeCell ref="B5:B6"/>
    <mergeCell ref="C5:C6"/>
    <mergeCell ref="F5:F6"/>
    <mergeCell ref="I5:I6"/>
    <mergeCell ref="J5:J6"/>
  </mergeCells>
  <pageMargins left="0.7" right="0.7" top="0.75" bottom="0.75" header="0.3" footer="0.3"/>
  <pageSetup scale="55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1DC2-2BB8-DB4F-A1E2-AF338D1CA73F}">
  <dimension ref="A1:J48"/>
  <sheetViews>
    <sheetView workbookViewId="0"/>
  </sheetViews>
  <sheetFormatPr baseColWidth="10" defaultRowHeight="16"/>
  <cols>
    <col min="1" max="7" width="17.1640625" style="227" customWidth="1"/>
    <col min="8" max="16384" width="10.83203125" style="227"/>
  </cols>
  <sheetData>
    <row r="1" spans="1:7">
      <c r="A1" s="342" t="s">
        <v>301</v>
      </c>
    </row>
    <row r="3" spans="1:7">
      <c r="A3" s="227" t="s">
        <v>391</v>
      </c>
    </row>
    <row r="5" spans="1:7" ht="51">
      <c r="A5" s="329" t="s">
        <v>295</v>
      </c>
      <c r="B5" s="330" t="s">
        <v>96</v>
      </c>
      <c r="C5" s="330" t="s">
        <v>302</v>
      </c>
      <c r="D5" s="330" t="s">
        <v>296</v>
      </c>
      <c r="E5" s="330" t="s">
        <v>297</v>
      </c>
      <c r="F5" s="330" t="s">
        <v>298</v>
      </c>
      <c r="G5" s="330" t="s">
        <v>299</v>
      </c>
    </row>
    <row r="6" spans="1:7" ht="17">
      <c r="A6" s="334" t="s">
        <v>303</v>
      </c>
      <c r="B6" s="336"/>
      <c r="C6" s="337"/>
      <c r="D6" s="338"/>
      <c r="E6" s="339"/>
      <c r="F6" s="340">
        <f>ROUND(C6*D6,2)</f>
        <v>0</v>
      </c>
      <c r="G6" s="340">
        <f>ROUND(C6*E6/2000,2)</f>
        <v>0</v>
      </c>
    </row>
    <row r="7" spans="1:7" ht="17">
      <c r="A7" s="335" t="s">
        <v>304</v>
      </c>
      <c r="B7" s="336"/>
      <c r="C7" s="337"/>
      <c r="D7" s="338"/>
      <c r="E7" s="339"/>
      <c r="F7" s="340">
        <f>ROUND(C7*D7,2)</f>
        <v>0</v>
      </c>
      <c r="G7" s="340">
        <f>ROUND(C7*E7/2000,2)</f>
        <v>0</v>
      </c>
    </row>
    <row r="8" spans="1:7" ht="17">
      <c r="A8" s="334" t="s">
        <v>305</v>
      </c>
      <c r="B8" s="336"/>
      <c r="C8" s="337"/>
      <c r="D8" s="338"/>
      <c r="E8" s="339"/>
      <c r="F8" s="340">
        <f>ROUND(C8*D8,2)</f>
        <v>0</v>
      </c>
      <c r="G8" s="340">
        <f>ROUND(C8*E8/2000,2)</f>
        <v>0</v>
      </c>
    </row>
    <row r="9" spans="1:7" ht="17">
      <c r="A9" s="335" t="s">
        <v>306</v>
      </c>
      <c r="B9" s="336"/>
      <c r="C9" s="337"/>
      <c r="D9" s="338"/>
      <c r="E9" s="339"/>
      <c r="F9" s="340">
        <f>ROUND(C9*D9,2)</f>
        <v>0</v>
      </c>
      <c r="G9" s="340">
        <f>ROUND(C9*E9/2000,2)</f>
        <v>0</v>
      </c>
    </row>
    <row r="10" spans="1:7">
      <c r="A10" s="331"/>
      <c r="B10" s="332"/>
      <c r="C10" s="332"/>
      <c r="D10" s="332"/>
      <c r="E10" s="333" t="s">
        <v>300</v>
      </c>
      <c r="F10" s="341">
        <f>SUM(F6:F9)</f>
        <v>0</v>
      </c>
      <c r="G10" s="341">
        <f>SUM(G6:G9)</f>
        <v>0</v>
      </c>
    </row>
    <row r="12" spans="1:7">
      <c r="A12" s="227" t="s">
        <v>275</v>
      </c>
    </row>
    <row r="13" spans="1:7">
      <c r="A13" s="227" t="s">
        <v>307</v>
      </c>
    </row>
    <row r="14" spans="1:7">
      <c r="A14" s="227" t="s">
        <v>321</v>
      </c>
    </row>
    <row r="15" spans="1:7">
      <c r="A15" s="227" t="s">
        <v>324</v>
      </c>
    </row>
    <row r="16" spans="1:7">
      <c r="A16" s="227" t="s">
        <v>317</v>
      </c>
    </row>
    <row r="18" spans="1:7">
      <c r="A18" s="227" t="s">
        <v>392</v>
      </c>
    </row>
    <row r="20" spans="1:7" ht="68">
      <c r="A20" s="329" t="s">
        <v>295</v>
      </c>
      <c r="B20" s="330" t="s">
        <v>96</v>
      </c>
      <c r="C20" s="330" t="s">
        <v>302</v>
      </c>
      <c r="D20" s="330" t="s">
        <v>312</v>
      </c>
      <c r="E20" s="330" t="s">
        <v>297</v>
      </c>
      <c r="F20" s="330" t="s">
        <v>313</v>
      </c>
      <c r="G20" s="330" t="s">
        <v>299</v>
      </c>
    </row>
    <row r="21" spans="1:7" ht="17">
      <c r="A21" s="334" t="s">
        <v>308</v>
      </c>
      <c r="B21" s="336"/>
      <c r="C21" s="337"/>
      <c r="D21" s="338"/>
      <c r="E21" s="339"/>
      <c r="F21" s="340">
        <f>ROUND(C21*D21/2000,2)</f>
        <v>0</v>
      </c>
      <c r="G21" s="340">
        <f>ROUND(C21*E21/2000,2)</f>
        <v>0</v>
      </c>
    </row>
    <row r="22" spans="1:7" ht="17">
      <c r="A22" s="335" t="s">
        <v>309</v>
      </c>
      <c r="B22" s="336"/>
      <c r="C22" s="337"/>
      <c r="D22" s="338"/>
      <c r="E22" s="339"/>
      <c r="F22" s="340">
        <f>ROUND(B22*D22,2)</f>
        <v>0</v>
      </c>
      <c r="G22" s="340">
        <f>ROUND(C22*E22/2000,2)</f>
        <v>0</v>
      </c>
    </row>
    <row r="23" spans="1:7" ht="17">
      <c r="A23" s="334" t="s">
        <v>310</v>
      </c>
      <c r="B23" s="336"/>
      <c r="C23" s="337"/>
      <c r="D23" s="338"/>
      <c r="E23" s="339"/>
      <c r="F23" s="340">
        <f>ROUND(B23*D23,2)</f>
        <v>0</v>
      </c>
      <c r="G23" s="340">
        <f>ROUND(C23*E23/2000,2)</f>
        <v>0</v>
      </c>
    </row>
    <row r="24" spans="1:7" ht="17">
      <c r="A24" s="335" t="s">
        <v>311</v>
      </c>
      <c r="B24" s="336"/>
      <c r="C24" s="337"/>
      <c r="D24" s="338"/>
      <c r="E24" s="339"/>
      <c r="F24" s="340">
        <f>ROUND(B24*D24,2)</f>
        <v>0</v>
      </c>
      <c r="G24" s="340">
        <f>ROUND(C24*E24/2000,2)</f>
        <v>0</v>
      </c>
    </row>
    <row r="25" spans="1:7">
      <c r="A25" s="331"/>
      <c r="B25" s="332"/>
      <c r="C25" s="332"/>
      <c r="D25" s="332"/>
      <c r="E25" s="333" t="s">
        <v>300</v>
      </c>
      <c r="F25" s="341">
        <f>SUM(F21:F24)</f>
        <v>0</v>
      </c>
      <c r="G25" s="341">
        <f>SUM(G21:G24)</f>
        <v>0</v>
      </c>
    </row>
    <row r="27" spans="1:7">
      <c r="A27" s="227" t="s">
        <v>275</v>
      </c>
    </row>
    <row r="28" spans="1:7">
      <c r="A28" s="227" t="s">
        <v>69</v>
      </c>
    </row>
    <row r="30" spans="1:7">
      <c r="A30" s="227" t="s">
        <v>393</v>
      </c>
    </row>
    <row r="32" spans="1:7" ht="51">
      <c r="A32" s="329" t="s">
        <v>295</v>
      </c>
      <c r="B32" s="330" t="s">
        <v>96</v>
      </c>
      <c r="C32" s="330" t="s">
        <v>319</v>
      </c>
      <c r="D32" s="330" t="s">
        <v>296</v>
      </c>
      <c r="E32" s="330" t="s">
        <v>297</v>
      </c>
      <c r="F32" s="330" t="s">
        <v>322</v>
      </c>
      <c r="G32" s="330" t="s">
        <v>323</v>
      </c>
    </row>
    <row r="33" spans="1:10" ht="17">
      <c r="A33" s="334" t="s">
        <v>303</v>
      </c>
      <c r="B33" s="336"/>
      <c r="C33" s="337"/>
      <c r="D33" s="338"/>
      <c r="E33" s="339"/>
      <c r="F33" s="340">
        <f>ROUND(C33*D33*(1-0.65)*(1-0.9),2)</f>
        <v>0</v>
      </c>
      <c r="G33" s="340">
        <f>ROUND(C33*E33*(1-0.65)*(1-0.9)/2000,2)</f>
        <v>0</v>
      </c>
    </row>
    <row r="34" spans="1:10" ht="17">
      <c r="A34" s="335" t="s">
        <v>304</v>
      </c>
      <c r="B34" s="336"/>
      <c r="C34" s="337"/>
      <c r="D34" s="338"/>
      <c r="E34" s="339"/>
      <c r="F34" s="340">
        <f>ROUND(C34*D34*(1-0.65)*(1-0.9),2)</f>
        <v>0</v>
      </c>
      <c r="G34" s="340">
        <f>ROUND(C34*E34*(1-0.65)*(1-0.9)/2000,2)</f>
        <v>0</v>
      </c>
    </row>
    <row r="35" spans="1:10" ht="17">
      <c r="A35" s="334" t="s">
        <v>305</v>
      </c>
      <c r="B35" s="336"/>
      <c r="C35" s="337"/>
      <c r="D35" s="338"/>
      <c r="E35" s="339"/>
      <c r="F35" s="340">
        <f>ROUND(C35*D35*(1-0.65)*(1-0.9),2)</f>
        <v>0</v>
      </c>
      <c r="G35" s="340">
        <f>ROUND(C35*E35*(1-0.65)*(1-0.9)/2000,2)</f>
        <v>0</v>
      </c>
    </row>
    <row r="36" spans="1:10" ht="17">
      <c r="A36" s="335" t="s">
        <v>306</v>
      </c>
      <c r="B36" s="336"/>
      <c r="C36" s="337"/>
      <c r="D36" s="338"/>
      <c r="E36" s="339"/>
      <c r="F36" s="340">
        <f>ROUND(C36*D36*(1-0.65)*(1-0.9),2)</f>
        <v>0</v>
      </c>
      <c r="G36" s="340">
        <f>ROUND(C36*E36*(1-0.65)*(1-0.9)/2000,2)</f>
        <v>0</v>
      </c>
    </row>
    <row r="37" spans="1:10">
      <c r="A37" s="331"/>
      <c r="B37" s="332"/>
      <c r="C37" s="332"/>
      <c r="D37" s="332"/>
      <c r="E37" s="333" t="s">
        <v>300</v>
      </c>
      <c r="F37" s="341">
        <f>SUM(F33:F36)</f>
        <v>0</v>
      </c>
      <c r="G37" s="341">
        <f>SUM(G33:G36)</f>
        <v>0</v>
      </c>
    </row>
    <row r="39" spans="1:10">
      <c r="A39" s="227" t="s">
        <v>275</v>
      </c>
    </row>
    <row r="40" spans="1:10">
      <c r="A40" s="227" t="s">
        <v>320</v>
      </c>
    </row>
    <row r="41" spans="1:10">
      <c r="A41" s="227" t="s">
        <v>318</v>
      </c>
    </row>
    <row r="43" spans="1:10">
      <c r="A43" s="213" t="s">
        <v>243</v>
      </c>
      <c r="B43" s="214"/>
      <c r="C43" s="214"/>
      <c r="D43" s="214"/>
      <c r="E43" s="214"/>
      <c r="F43" s="214"/>
      <c r="G43" s="214"/>
      <c r="H43" s="214"/>
      <c r="I43" s="214"/>
      <c r="J43" s="214"/>
    </row>
    <row r="44" spans="1:10">
      <c r="A44" s="207" t="s">
        <v>244</v>
      </c>
      <c r="B44" s="208"/>
      <c r="C44" s="214"/>
      <c r="D44" s="214"/>
      <c r="E44" s="214"/>
      <c r="F44" s="214"/>
      <c r="G44" s="214"/>
      <c r="H44" s="214"/>
      <c r="I44" s="214"/>
      <c r="J44" s="214"/>
    </row>
    <row r="45" spans="1:10">
      <c r="A45" s="267"/>
      <c r="B45" s="214"/>
      <c r="C45" s="214"/>
      <c r="D45" s="214"/>
      <c r="E45" s="214"/>
      <c r="F45" s="214"/>
      <c r="G45" s="214"/>
      <c r="H45" s="214"/>
      <c r="I45" s="214"/>
      <c r="J45" s="214"/>
    </row>
    <row r="46" spans="1:10">
      <c r="A46" s="159" t="s">
        <v>114</v>
      </c>
      <c r="B46" s="159"/>
      <c r="C46" s="159"/>
      <c r="D46" s="159"/>
      <c r="E46" s="159"/>
      <c r="F46" s="159"/>
      <c r="G46" s="159"/>
      <c r="H46" s="159"/>
      <c r="I46" s="159"/>
      <c r="J46" s="159"/>
    </row>
    <row r="47" spans="1:10">
      <c r="A47" s="58"/>
      <c r="B47" s="58"/>
      <c r="C47" s="58"/>
      <c r="D47" s="58"/>
      <c r="E47" s="58"/>
      <c r="F47" s="58"/>
      <c r="G47" s="58"/>
      <c r="H47" s="58"/>
      <c r="I47" s="58"/>
      <c r="J47" s="58"/>
    </row>
    <row r="48" spans="1:10">
      <c r="A48" s="90" t="s">
        <v>153</v>
      </c>
      <c r="B48" s="113"/>
      <c r="C48" s="113"/>
      <c r="D48" s="113"/>
      <c r="E48" s="58"/>
      <c r="F48" s="58"/>
      <c r="G48" s="58"/>
      <c r="H48" s="58"/>
      <c r="I48" s="58"/>
      <c r="J48" s="58"/>
    </row>
  </sheetData>
  <mergeCells count="1">
    <mergeCell ref="A46:J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A1E5-AA90-AF4E-B5D4-8FE5DCE4ECAD}">
  <dimension ref="A1:K16"/>
  <sheetViews>
    <sheetView workbookViewId="0"/>
  </sheetViews>
  <sheetFormatPr baseColWidth="10" defaultRowHeight="16"/>
  <cols>
    <col min="1" max="1" width="83.6640625" style="171" customWidth="1"/>
    <col min="2" max="11" width="16.83203125" style="171" customWidth="1"/>
    <col min="12" max="16384" width="10.83203125" style="171"/>
  </cols>
  <sheetData>
    <row r="1" spans="1:11">
      <c r="A1" s="328" t="s">
        <v>395</v>
      </c>
    </row>
    <row r="3" spans="1:11">
      <c r="A3" s="171" t="s">
        <v>396</v>
      </c>
    </row>
    <row r="5" spans="1:11" ht="85">
      <c r="A5" s="460" t="s">
        <v>397</v>
      </c>
      <c r="B5" s="330" t="s">
        <v>398</v>
      </c>
      <c r="C5" s="330" t="s">
        <v>401</v>
      </c>
      <c r="D5" s="330" t="s">
        <v>402</v>
      </c>
      <c r="E5" s="464" t="s">
        <v>414</v>
      </c>
      <c r="F5" s="464" t="s">
        <v>418</v>
      </c>
      <c r="G5" s="464" t="s">
        <v>419</v>
      </c>
      <c r="H5" s="330" t="s">
        <v>403</v>
      </c>
      <c r="I5" s="330" t="s">
        <v>404</v>
      </c>
      <c r="J5" s="330" t="s">
        <v>405</v>
      </c>
      <c r="K5" s="330" t="s">
        <v>406</v>
      </c>
    </row>
    <row r="6" spans="1:11">
      <c r="A6" s="461" t="s">
        <v>411</v>
      </c>
      <c r="B6" s="462">
        <v>5</v>
      </c>
      <c r="C6" s="463">
        <v>0.9</v>
      </c>
      <c r="D6" s="463">
        <v>0.2</v>
      </c>
      <c r="E6" s="465" t="s">
        <v>117</v>
      </c>
      <c r="F6" s="465" t="s">
        <v>117</v>
      </c>
      <c r="G6" s="465" t="s">
        <v>117</v>
      </c>
      <c r="H6" s="468">
        <f>ROUND(B6*C6,2)</f>
        <v>4.5</v>
      </c>
      <c r="I6" s="466">
        <f>H6*8760/2000</f>
        <v>19.71</v>
      </c>
      <c r="J6" s="468">
        <f>ROUND(B6*D6,2)</f>
        <v>1</v>
      </c>
      <c r="K6" s="466">
        <f>J6*8760/2000</f>
        <v>4.38</v>
      </c>
    </row>
    <row r="7" spans="1:11">
      <c r="A7" s="461" t="s">
        <v>412</v>
      </c>
      <c r="B7" s="462">
        <v>5</v>
      </c>
      <c r="C7" s="463">
        <v>0.9</v>
      </c>
      <c r="D7" s="465" t="s">
        <v>117</v>
      </c>
      <c r="E7" s="469">
        <v>0.998</v>
      </c>
      <c r="F7" s="465" t="s">
        <v>117</v>
      </c>
      <c r="G7" s="465" t="s">
        <v>117</v>
      </c>
      <c r="H7" s="468">
        <f>ROUND(B7*C7,2)</f>
        <v>4.5</v>
      </c>
      <c r="I7" s="466">
        <f>H7*8760/2000</f>
        <v>19.71</v>
      </c>
      <c r="J7" s="468">
        <f>ROUND(B7*C7*(100%-E7),2)</f>
        <v>0.01</v>
      </c>
      <c r="K7" s="468">
        <f>J7*8760/2000</f>
        <v>4.3800000000000006E-2</v>
      </c>
    </row>
    <row r="8" spans="1:11">
      <c r="A8" s="461" t="s">
        <v>417</v>
      </c>
      <c r="B8" s="462">
        <v>5</v>
      </c>
      <c r="C8" s="463">
        <v>0.9</v>
      </c>
      <c r="D8" s="465" t="s">
        <v>117</v>
      </c>
      <c r="E8" s="465" t="s">
        <v>117</v>
      </c>
      <c r="F8" s="465">
        <v>5.0000000000000001E-3</v>
      </c>
      <c r="G8" s="467">
        <v>5000</v>
      </c>
      <c r="H8" s="468">
        <f>ROUND(B8*C8,2)</f>
        <v>4.5</v>
      </c>
      <c r="I8" s="468">
        <f>H8*8760/2000</f>
        <v>19.71</v>
      </c>
      <c r="J8" s="466">
        <f>ROUND(F8*G8*60/7000,2)</f>
        <v>0.21</v>
      </c>
      <c r="K8" s="468">
        <f>J8*8760/2000</f>
        <v>0.91979999999999995</v>
      </c>
    </row>
    <row r="9" spans="1:11">
      <c r="A9" s="461" t="s">
        <v>413</v>
      </c>
      <c r="B9" s="462">
        <v>5</v>
      </c>
      <c r="C9" s="463">
        <v>0.9</v>
      </c>
      <c r="D9" s="465" t="s">
        <v>117</v>
      </c>
      <c r="E9" s="465" t="s">
        <v>117</v>
      </c>
      <c r="F9" s="465" t="s">
        <v>117</v>
      </c>
      <c r="G9" s="465" t="s">
        <v>117</v>
      </c>
      <c r="H9" s="468">
        <f>ROUND(B9*C9,2)</f>
        <v>4.5</v>
      </c>
      <c r="I9" s="466">
        <f>H9*8760/2000</f>
        <v>19.71</v>
      </c>
      <c r="J9" s="470" t="s">
        <v>71</v>
      </c>
      <c r="K9" s="470" t="s">
        <v>71</v>
      </c>
    </row>
    <row r="11" spans="1:11">
      <c r="A11" s="171" t="s">
        <v>275</v>
      </c>
    </row>
    <row r="12" spans="1:11">
      <c r="A12" s="171" t="s">
        <v>399</v>
      </c>
    </row>
    <row r="13" spans="1:11" ht="18">
      <c r="A13" s="171" t="s">
        <v>400</v>
      </c>
    </row>
    <row r="14" spans="1:11">
      <c r="A14" s="171" t="s">
        <v>415</v>
      </c>
    </row>
    <row r="15" spans="1:11">
      <c r="A15" s="171" t="s">
        <v>416</v>
      </c>
    </row>
    <row r="16" spans="1:11">
      <c r="A16" s="171" t="s"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zoomScaleNormal="100" zoomScalePageLayoutView="75" workbookViewId="0"/>
  </sheetViews>
  <sheetFormatPr baseColWidth="10" defaultColWidth="11" defaultRowHeight="16"/>
  <cols>
    <col min="1" max="1" width="60.6640625" style="62" customWidth="1"/>
    <col min="2" max="4" width="11" style="74" customWidth="1"/>
    <col min="5" max="9" width="11" style="74"/>
    <col min="10" max="16384" width="11" style="62"/>
  </cols>
  <sheetData>
    <row r="1" spans="1:10" ht="16" customHeight="1">
      <c r="A1" s="59" t="s">
        <v>119</v>
      </c>
      <c r="B1" s="60"/>
      <c r="C1" s="60"/>
      <c r="D1" s="60"/>
      <c r="E1" s="60"/>
      <c r="F1" s="60"/>
      <c r="G1" s="60"/>
      <c r="H1" s="60"/>
      <c r="I1" s="60"/>
      <c r="J1" s="61">
        <v>1</v>
      </c>
    </row>
    <row r="2" spans="1:10" ht="16" customHeight="1">
      <c r="A2" s="61" t="s">
        <v>121</v>
      </c>
      <c r="B2" s="60"/>
      <c r="C2" s="60"/>
      <c r="D2" s="60"/>
      <c r="E2" s="60"/>
      <c r="F2" s="60"/>
      <c r="G2" s="60"/>
      <c r="H2" s="60"/>
      <c r="I2" s="60"/>
      <c r="J2" s="61"/>
    </row>
    <row r="3" spans="1:10" ht="16" customHeight="1">
      <c r="A3" s="61" t="s">
        <v>120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6" customHeight="1">
      <c r="A4" s="63" t="s">
        <v>122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ht="16" customHeight="1">
      <c r="A5" s="61"/>
      <c r="B5" s="60"/>
      <c r="C5" s="60"/>
      <c r="D5" s="60"/>
      <c r="E5" s="60"/>
      <c r="F5" s="60"/>
      <c r="G5" s="60"/>
      <c r="H5" s="60"/>
      <c r="I5" s="60"/>
      <c r="J5" s="61"/>
    </row>
    <row r="6" spans="1:10" ht="16" customHeight="1">
      <c r="A6" s="61" t="s">
        <v>123</v>
      </c>
      <c r="B6" s="60"/>
      <c r="C6" s="60"/>
      <c r="D6" s="60"/>
      <c r="E6" s="60"/>
      <c r="F6" s="60"/>
      <c r="G6" s="60"/>
      <c r="H6" s="60"/>
      <c r="I6" s="60"/>
      <c r="J6" s="61"/>
    </row>
    <row r="7" spans="1:10" ht="16" customHeight="1">
      <c r="A7" s="61"/>
      <c r="B7" s="60"/>
      <c r="C7" s="60"/>
      <c r="D7" s="60"/>
      <c r="E7" s="60"/>
      <c r="F7" s="60"/>
      <c r="G7" s="60"/>
      <c r="H7" s="60"/>
      <c r="I7" s="60"/>
      <c r="J7" s="61"/>
    </row>
    <row r="8" spans="1:10" ht="16" customHeight="1">
      <c r="A8" s="123" t="s">
        <v>63</v>
      </c>
      <c r="B8" s="64" t="s">
        <v>37</v>
      </c>
      <c r="C8" s="64" t="s">
        <v>124</v>
      </c>
      <c r="D8" s="64" t="s">
        <v>125</v>
      </c>
      <c r="E8" s="64" t="s">
        <v>126</v>
      </c>
      <c r="F8" s="64" t="s">
        <v>38</v>
      </c>
      <c r="G8" s="64" t="s">
        <v>39</v>
      </c>
      <c r="H8" s="64" t="s">
        <v>56</v>
      </c>
      <c r="I8" s="64" t="s">
        <v>40</v>
      </c>
      <c r="J8" s="64" t="s">
        <v>41</v>
      </c>
    </row>
    <row r="9" spans="1:10" ht="16" customHeight="1">
      <c r="A9" s="124"/>
      <c r="B9" s="65" t="s">
        <v>29</v>
      </c>
      <c r="C9" s="65" t="s">
        <v>29</v>
      </c>
      <c r="D9" s="65" t="s">
        <v>7</v>
      </c>
      <c r="E9" s="65" t="s">
        <v>29</v>
      </c>
      <c r="F9" s="65" t="s">
        <v>29</v>
      </c>
      <c r="G9" s="65" t="s">
        <v>29</v>
      </c>
      <c r="H9" s="65" t="s">
        <v>29</v>
      </c>
      <c r="I9" s="65" t="s">
        <v>29</v>
      </c>
      <c r="J9" s="65" t="s">
        <v>29</v>
      </c>
    </row>
    <row r="10" spans="1:10" ht="16" customHeight="1">
      <c r="A10" s="125" t="s">
        <v>73</v>
      </c>
      <c r="B10" s="126"/>
      <c r="C10" s="126"/>
      <c r="D10" s="126"/>
      <c r="E10" s="126"/>
      <c r="F10" s="126"/>
      <c r="G10" s="126"/>
      <c r="H10" s="126"/>
      <c r="I10" s="126"/>
      <c r="J10" s="127"/>
    </row>
    <row r="11" spans="1:10" ht="16" customHeight="1">
      <c r="A11" s="66" t="s">
        <v>171</v>
      </c>
      <c r="B11" s="107">
        <f>Welding!G14</f>
        <v>0</v>
      </c>
      <c r="C11" s="107">
        <f>B11</f>
        <v>0</v>
      </c>
      <c r="D11" s="107">
        <f>B11</f>
        <v>0</v>
      </c>
      <c r="E11" s="67" t="s">
        <v>117</v>
      </c>
      <c r="F11" s="67" t="s">
        <v>117</v>
      </c>
      <c r="G11" s="67" t="s">
        <v>117</v>
      </c>
      <c r="H11" s="67" t="s">
        <v>117</v>
      </c>
      <c r="I11" s="67" t="s">
        <v>117</v>
      </c>
      <c r="J11" s="67" t="s">
        <v>117</v>
      </c>
    </row>
    <row r="12" spans="1:10" ht="16" customHeight="1">
      <c r="A12" s="66" t="s">
        <v>172</v>
      </c>
      <c r="B12" s="107" t="e">
        <f>Welding!G15+Welding!D31</f>
        <v>#VALUE!</v>
      </c>
      <c r="C12" s="107" t="e">
        <f>B12</f>
        <v>#VALUE!</v>
      </c>
      <c r="D12" s="107" t="e">
        <f>B12</f>
        <v>#VALUE!</v>
      </c>
      <c r="E12" s="67" t="s">
        <v>117</v>
      </c>
      <c r="F12" s="67" t="s">
        <v>117</v>
      </c>
      <c r="G12" s="67" t="s">
        <v>117</v>
      </c>
      <c r="H12" s="67" t="s">
        <v>117</v>
      </c>
      <c r="I12" s="67" t="s">
        <v>117</v>
      </c>
      <c r="J12" s="67" t="s">
        <v>117</v>
      </c>
    </row>
    <row r="13" spans="1:10" ht="16" customHeight="1">
      <c r="A13" s="125" t="s">
        <v>74</v>
      </c>
      <c r="B13" s="126"/>
      <c r="C13" s="126"/>
      <c r="D13" s="126"/>
      <c r="E13" s="126"/>
      <c r="F13" s="126"/>
      <c r="G13" s="126"/>
      <c r="H13" s="126"/>
      <c r="I13" s="126"/>
      <c r="J13" s="127"/>
    </row>
    <row r="14" spans="1:10" ht="16" customHeight="1">
      <c r="A14" s="343" t="s">
        <v>371</v>
      </c>
      <c r="B14" s="107">
        <f>NG!E16</f>
        <v>0</v>
      </c>
      <c r="C14" s="107">
        <f>NG!F16</f>
        <v>0</v>
      </c>
      <c r="D14" s="107">
        <f>C14</f>
        <v>0</v>
      </c>
      <c r="E14" s="107">
        <f>NG!G16</f>
        <v>0</v>
      </c>
      <c r="F14" s="107">
        <f>NG!H16</f>
        <v>0</v>
      </c>
      <c r="G14" s="107">
        <f>NG!I16</f>
        <v>0</v>
      </c>
      <c r="H14" s="107">
        <f>NG!J16</f>
        <v>0</v>
      </c>
      <c r="I14" s="107">
        <f>NG!K16</f>
        <v>0</v>
      </c>
      <c r="J14" s="107">
        <f>NG!V16</f>
        <v>0</v>
      </c>
    </row>
    <row r="15" spans="1:10" ht="16" customHeight="1">
      <c r="A15" s="268" t="s">
        <v>293</v>
      </c>
      <c r="B15" s="126"/>
      <c r="C15" s="126"/>
      <c r="D15" s="126"/>
      <c r="E15" s="126"/>
      <c r="F15" s="126"/>
      <c r="G15" s="126"/>
      <c r="H15" s="126"/>
      <c r="I15" s="126"/>
      <c r="J15" s="127"/>
    </row>
    <row r="16" spans="1:10" ht="16" customHeight="1">
      <c r="A16" s="343" t="s">
        <v>369</v>
      </c>
      <c r="B16" s="107">
        <f ca="1">Diesel!H14</f>
        <v>0</v>
      </c>
      <c r="C16" s="107">
        <f ca="1">Diesel!I14</f>
        <v>0</v>
      </c>
      <c r="D16" s="107">
        <f ca="1">Diesel!J14</f>
        <v>0</v>
      </c>
      <c r="E16" s="107">
        <f ca="1">Diesel!K14</f>
        <v>0</v>
      </c>
      <c r="F16" s="107">
        <f ca="1">Diesel!L14</f>
        <v>0</v>
      </c>
      <c r="G16" s="107">
        <f ca="1">Diesel!M14</f>
        <v>0</v>
      </c>
      <c r="H16" s="107">
        <f ca="1">Diesel!N14</f>
        <v>0</v>
      </c>
      <c r="I16" s="107">
        <f ca="1">Diesel!O14</f>
        <v>0</v>
      </c>
      <c r="J16" s="107">
        <f ca="1">Diesel!U14</f>
        <v>0</v>
      </c>
    </row>
    <row r="17" spans="1:10" ht="16" customHeight="1">
      <c r="A17" s="343" t="s">
        <v>370</v>
      </c>
      <c r="B17" s="107" t="e">
        <f>Diesel!E40</f>
        <v>#REF!</v>
      </c>
      <c r="C17" s="107" t="e">
        <f>Diesel!F40</f>
        <v>#REF!</v>
      </c>
      <c r="D17" s="107" t="e">
        <f>C17</f>
        <v>#REF!</v>
      </c>
      <c r="E17" s="107" t="e">
        <f>Diesel!G40</f>
        <v>#REF!</v>
      </c>
      <c r="F17" s="107" t="e">
        <f>Diesel!H40</f>
        <v>#REF!</v>
      </c>
      <c r="G17" s="107">
        <f>Diesel!II40</f>
        <v>0</v>
      </c>
      <c r="H17" s="107" t="e">
        <f>Diesel!J40</f>
        <v>#REF!</v>
      </c>
      <c r="I17" s="107" t="e">
        <f>Diesel!K40</f>
        <v>#REF!</v>
      </c>
      <c r="J17" s="107" t="e">
        <f>Diesel!V40</f>
        <v>#REF!</v>
      </c>
    </row>
    <row r="18" spans="1:10" ht="16" customHeight="1">
      <c r="A18" s="125" t="s">
        <v>76</v>
      </c>
      <c r="B18" s="126"/>
      <c r="C18" s="126"/>
      <c r="D18" s="126"/>
      <c r="E18" s="126"/>
      <c r="F18" s="126"/>
      <c r="G18" s="126"/>
      <c r="H18" s="126"/>
      <c r="I18" s="126"/>
      <c r="J18" s="127"/>
    </row>
    <row r="19" spans="1:10" ht="16" customHeight="1">
      <c r="A19" s="66" t="s">
        <v>151</v>
      </c>
      <c r="B19" s="67" t="s">
        <v>117</v>
      </c>
      <c r="C19" s="67" t="s">
        <v>117</v>
      </c>
      <c r="D19" s="67" t="s">
        <v>117</v>
      </c>
      <c r="E19" s="67" t="s">
        <v>117</v>
      </c>
      <c r="F19" s="67" t="s">
        <v>117</v>
      </c>
      <c r="G19" s="67" t="s">
        <v>117</v>
      </c>
      <c r="H19" s="107">
        <f>Refrigerant!N10</f>
        <v>0</v>
      </c>
      <c r="I19" s="107">
        <f>H19</f>
        <v>0</v>
      </c>
      <c r="J19" s="107">
        <f>Refrigerant!P10</f>
        <v>0</v>
      </c>
    </row>
    <row r="20" spans="1:10" ht="16" customHeight="1">
      <c r="A20" s="268" t="s">
        <v>246</v>
      </c>
      <c r="B20" s="126"/>
      <c r="C20" s="126"/>
      <c r="D20" s="126"/>
      <c r="E20" s="126"/>
      <c r="F20" s="126"/>
      <c r="G20" s="126"/>
      <c r="H20" s="126"/>
      <c r="I20" s="126"/>
      <c r="J20" s="127"/>
    </row>
    <row r="21" spans="1:10" ht="16" customHeight="1">
      <c r="A21" s="269" t="s">
        <v>248</v>
      </c>
      <c r="B21" s="107">
        <f>'Unpaved Roadways &amp; Parking'!N16</f>
        <v>0</v>
      </c>
      <c r="C21" s="107">
        <f>'Unpaved Roadways &amp; Parking'!N31</f>
        <v>0</v>
      </c>
      <c r="D21" s="107">
        <f>C21</f>
        <v>0</v>
      </c>
      <c r="E21" s="67" t="s">
        <v>117</v>
      </c>
      <c r="F21" s="67" t="s">
        <v>117</v>
      </c>
      <c r="G21" s="67" t="s">
        <v>117</v>
      </c>
      <c r="H21" s="67" t="s">
        <v>117</v>
      </c>
      <c r="I21" s="67" t="s">
        <v>117</v>
      </c>
      <c r="J21" s="67" t="s">
        <v>117</v>
      </c>
    </row>
    <row r="22" spans="1:10" ht="16" customHeight="1">
      <c r="A22" s="269" t="s">
        <v>247</v>
      </c>
      <c r="B22" s="107">
        <f>'Paved Roadways &amp; Parking'!I16</f>
        <v>0</v>
      </c>
      <c r="C22" s="107">
        <f>'Paved Roadways &amp; Parking'!I31</f>
        <v>0</v>
      </c>
      <c r="D22" s="107">
        <f>C22</f>
        <v>0</v>
      </c>
      <c r="E22" s="67" t="s">
        <v>117</v>
      </c>
      <c r="F22" s="67" t="s">
        <v>117</v>
      </c>
      <c r="G22" s="67" t="s">
        <v>117</v>
      </c>
      <c r="H22" s="67" t="s">
        <v>117</v>
      </c>
      <c r="I22" s="67" t="s">
        <v>117</v>
      </c>
      <c r="J22" s="67" t="s">
        <v>117</v>
      </c>
    </row>
    <row r="23" spans="1:10" ht="16" customHeight="1">
      <c r="A23" s="268" t="s">
        <v>250</v>
      </c>
      <c r="B23" s="126"/>
      <c r="C23" s="126"/>
      <c r="D23" s="126"/>
      <c r="E23" s="126"/>
      <c r="F23" s="126"/>
      <c r="G23" s="126"/>
      <c r="H23" s="126"/>
      <c r="I23" s="126"/>
      <c r="J23" s="127"/>
    </row>
    <row r="24" spans="1:10" ht="16" customHeight="1">
      <c r="A24" s="269" t="s">
        <v>251</v>
      </c>
      <c r="B24" s="107" t="e">
        <f>'Storage Piles'!I22</f>
        <v>#DIV/0!</v>
      </c>
      <c r="C24" s="107" t="e">
        <f>'Storage Piles'!I23</f>
        <v>#DIV/0!</v>
      </c>
      <c r="D24" s="107" t="e">
        <f>C24</f>
        <v>#DIV/0!</v>
      </c>
      <c r="E24" s="67" t="s">
        <v>117</v>
      </c>
      <c r="F24" s="67" t="s">
        <v>117</v>
      </c>
      <c r="G24" s="67" t="s">
        <v>117</v>
      </c>
      <c r="H24" s="67" t="s">
        <v>117</v>
      </c>
      <c r="I24" s="67" t="s">
        <v>117</v>
      </c>
      <c r="J24" s="67" t="s">
        <v>117</v>
      </c>
    </row>
    <row r="25" spans="1:10" ht="16" customHeight="1">
      <c r="A25" s="268" t="s">
        <v>314</v>
      </c>
      <c r="B25" s="126"/>
      <c r="C25" s="126"/>
      <c r="D25" s="126"/>
      <c r="E25" s="126"/>
      <c r="F25" s="126"/>
      <c r="G25" s="126"/>
      <c r="H25" s="126"/>
      <c r="I25" s="126"/>
      <c r="J25" s="127"/>
    </row>
    <row r="26" spans="1:10" ht="16" customHeight="1">
      <c r="A26" s="269" t="s">
        <v>315</v>
      </c>
      <c r="B26" s="107">
        <f>Coatings!G37</f>
        <v>0</v>
      </c>
      <c r="C26" s="107">
        <f>B26</f>
        <v>0</v>
      </c>
      <c r="D26" s="107">
        <f>B26</f>
        <v>0</v>
      </c>
      <c r="E26" s="67" t="s">
        <v>117</v>
      </c>
      <c r="F26" s="67" t="s">
        <v>117</v>
      </c>
      <c r="G26" s="67" t="s">
        <v>117</v>
      </c>
      <c r="H26" s="107">
        <f>I26</f>
        <v>0</v>
      </c>
      <c r="I26" s="107">
        <f>Coatings!G10</f>
        <v>0</v>
      </c>
      <c r="J26" s="107">
        <f>I26</f>
        <v>0</v>
      </c>
    </row>
    <row r="27" spans="1:10" ht="16" customHeight="1">
      <c r="A27" s="269" t="s">
        <v>316</v>
      </c>
      <c r="B27" s="67" t="s">
        <v>117</v>
      </c>
      <c r="C27" s="67" t="s">
        <v>117</v>
      </c>
      <c r="D27" s="67" t="s">
        <v>117</v>
      </c>
      <c r="E27" s="67" t="s">
        <v>117</v>
      </c>
      <c r="F27" s="67" t="s">
        <v>117</v>
      </c>
      <c r="G27" s="67" t="s">
        <v>117</v>
      </c>
      <c r="H27" s="107">
        <f>I27</f>
        <v>0</v>
      </c>
      <c r="I27" s="107">
        <f>Coatings!G24</f>
        <v>0</v>
      </c>
      <c r="J27" s="107">
        <f>I27</f>
        <v>0</v>
      </c>
    </row>
    <row r="28" spans="1:10" ht="16" customHeight="1">
      <c r="A28" s="268" t="s">
        <v>394</v>
      </c>
      <c r="B28" s="126"/>
      <c r="C28" s="126"/>
      <c r="D28" s="126"/>
      <c r="E28" s="126"/>
      <c r="F28" s="126"/>
      <c r="G28" s="126"/>
      <c r="H28" s="126"/>
      <c r="I28" s="126"/>
      <c r="J28" s="127"/>
    </row>
    <row r="29" spans="1:10" ht="16" customHeight="1">
      <c r="A29" s="269" t="s">
        <v>407</v>
      </c>
      <c r="B29" s="107">
        <f>Processes!I6</f>
        <v>19.71</v>
      </c>
      <c r="C29" s="107">
        <f>B29</f>
        <v>19.71</v>
      </c>
      <c r="D29" s="107">
        <f>B29</f>
        <v>19.71</v>
      </c>
      <c r="E29" s="67" t="s">
        <v>117</v>
      </c>
      <c r="F29" s="67" t="s">
        <v>117</v>
      </c>
      <c r="G29" s="67" t="s">
        <v>117</v>
      </c>
      <c r="H29" s="67" t="s">
        <v>117</v>
      </c>
      <c r="I29" s="67" t="s">
        <v>117</v>
      </c>
      <c r="J29" s="67" t="s">
        <v>117</v>
      </c>
    </row>
    <row r="30" spans="1:10" ht="16" customHeight="1">
      <c r="A30" s="269" t="s">
        <v>408</v>
      </c>
      <c r="B30" s="107">
        <f>Processes!I7</f>
        <v>19.71</v>
      </c>
      <c r="C30" s="107">
        <f>B30</f>
        <v>19.71</v>
      </c>
      <c r="D30" s="107">
        <f>B30</f>
        <v>19.71</v>
      </c>
      <c r="E30" s="67" t="s">
        <v>117</v>
      </c>
      <c r="F30" s="67" t="s">
        <v>117</v>
      </c>
      <c r="G30" s="67" t="s">
        <v>117</v>
      </c>
      <c r="H30" s="67" t="s">
        <v>117</v>
      </c>
      <c r="I30" s="67" t="s">
        <v>117</v>
      </c>
      <c r="J30" s="67" t="s">
        <v>117</v>
      </c>
    </row>
    <row r="31" spans="1:10" ht="16" customHeight="1">
      <c r="A31" s="269" t="s">
        <v>410</v>
      </c>
      <c r="B31" s="107">
        <f>Processes!I8</f>
        <v>19.71</v>
      </c>
      <c r="C31" s="107">
        <f>B31</f>
        <v>19.71</v>
      </c>
      <c r="D31" s="107">
        <f>B31</f>
        <v>19.71</v>
      </c>
      <c r="E31" s="67" t="s">
        <v>117</v>
      </c>
      <c r="F31" s="67" t="s">
        <v>117</v>
      </c>
      <c r="G31" s="67" t="s">
        <v>117</v>
      </c>
      <c r="H31" s="67" t="s">
        <v>117</v>
      </c>
      <c r="I31" s="67" t="s">
        <v>117</v>
      </c>
      <c r="J31" s="67" t="s">
        <v>117</v>
      </c>
    </row>
    <row r="32" spans="1:10" ht="16" customHeight="1">
      <c r="A32" s="269" t="s">
        <v>409</v>
      </c>
      <c r="B32" s="107">
        <f>Processes!I9</f>
        <v>19.71</v>
      </c>
      <c r="C32" s="107">
        <f>B32</f>
        <v>19.71</v>
      </c>
      <c r="D32" s="107">
        <f>B32</f>
        <v>19.71</v>
      </c>
      <c r="E32" s="67" t="s">
        <v>117</v>
      </c>
      <c r="F32" s="67" t="s">
        <v>117</v>
      </c>
      <c r="G32" s="67" t="s">
        <v>117</v>
      </c>
      <c r="H32" s="67" t="s">
        <v>117</v>
      </c>
      <c r="I32" s="67" t="s">
        <v>117</v>
      </c>
      <c r="J32" s="67" t="s">
        <v>117</v>
      </c>
    </row>
    <row r="33" spans="1:10" ht="16" customHeight="1">
      <c r="A33" s="68" t="s">
        <v>75</v>
      </c>
      <c r="B33" s="108" t="e">
        <f>SUM(B11:B32)</f>
        <v>#VALUE!</v>
      </c>
      <c r="C33" s="108" t="e">
        <f>SUM(C11:C32)</f>
        <v>#VALUE!</v>
      </c>
      <c r="D33" s="108" t="e">
        <f>SUM(D11:D32)</f>
        <v>#VALUE!</v>
      </c>
      <c r="E33" s="108" t="e">
        <f ca="1">SUM(E11:E32)</f>
        <v>#VALUE!</v>
      </c>
      <c r="F33" s="108" t="e">
        <f ca="1">SUM(F11:F32)</f>
        <v>#VALUE!</v>
      </c>
      <c r="G33" s="108" t="e">
        <f ca="1">SUM(G11:G32)</f>
        <v>#VALUE!</v>
      </c>
      <c r="H33" s="108" t="e">
        <f ca="1">SUM(H11:H32)</f>
        <v>#VALUE!</v>
      </c>
      <c r="I33" s="108" t="e">
        <f ca="1">SUM(I11:I32)</f>
        <v>#VALUE!</v>
      </c>
      <c r="J33" s="108" t="e">
        <f ca="1">SUM(J11:J32)</f>
        <v>#VALUE!</v>
      </c>
    </row>
    <row r="34" spans="1:10" ht="16" customHeight="1">
      <c r="A34" s="69"/>
      <c r="B34" s="70"/>
      <c r="C34" s="70"/>
      <c r="D34" s="70"/>
      <c r="E34" s="70"/>
      <c r="F34" s="70"/>
      <c r="G34" s="70"/>
      <c r="H34" s="70"/>
      <c r="I34" s="70"/>
      <c r="J34" s="70"/>
    </row>
    <row r="35" spans="1:10" ht="16" customHeight="1">
      <c r="A35" s="69" t="s">
        <v>127</v>
      </c>
      <c r="B35" s="70"/>
      <c r="C35" s="70"/>
      <c r="D35" s="70"/>
      <c r="E35" s="70"/>
      <c r="F35" s="70"/>
      <c r="G35" s="70"/>
      <c r="H35" s="70"/>
      <c r="I35" s="70"/>
      <c r="J35" s="70"/>
    </row>
    <row r="36" spans="1:10" ht="16" customHeight="1">
      <c r="A36" s="69"/>
      <c r="B36" s="70"/>
      <c r="C36" s="70"/>
      <c r="D36" s="70"/>
      <c r="E36" s="70"/>
      <c r="F36" s="70"/>
      <c r="G36" s="70"/>
      <c r="H36" s="70"/>
      <c r="I36" s="70"/>
      <c r="J36" s="70"/>
    </row>
    <row r="37" spans="1:10" ht="16" customHeight="1">
      <c r="A37" s="69" t="s">
        <v>154</v>
      </c>
      <c r="B37" s="70"/>
      <c r="C37" s="70"/>
      <c r="D37" s="70"/>
      <c r="E37" s="70"/>
      <c r="F37" s="70"/>
      <c r="G37" s="70"/>
      <c r="H37" s="70"/>
      <c r="I37" s="70"/>
      <c r="J37" s="70"/>
    </row>
    <row r="38" spans="1:10" ht="16" customHeight="1">
      <c r="A38" s="61"/>
      <c r="B38" s="60"/>
      <c r="C38" s="60"/>
      <c r="D38" s="60"/>
      <c r="E38" s="60"/>
      <c r="F38" s="60"/>
      <c r="G38" s="60"/>
      <c r="H38" s="60"/>
      <c r="I38" s="60"/>
      <c r="J38" s="61"/>
    </row>
    <row r="39" spans="1:10" ht="16" customHeight="1">
      <c r="A39" s="71" t="s">
        <v>30</v>
      </c>
      <c r="B39" s="60"/>
      <c r="C39" s="60"/>
      <c r="D39" s="60"/>
      <c r="E39" s="60"/>
      <c r="F39" s="60"/>
      <c r="G39" s="60"/>
      <c r="H39" s="60"/>
      <c r="I39" s="60"/>
      <c r="J39" s="61"/>
    </row>
    <row r="40" spans="1:10" ht="16" customHeight="1">
      <c r="A40" s="61"/>
      <c r="B40" s="60"/>
      <c r="C40" s="60"/>
      <c r="D40" s="60"/>
      <c r="E40" s="60"/>
      <c r="F40" s="60"/>
      <c r="G40" s="60"/>
      <c r="H40" s="60"/>
      <c r="I40" s="60"/>
      <c r="J40" s="61"/>
    </row>
    <row r="41" spans="1:10" ht="16" customHeight="1">
      <c r="A41" s="72" t="s">
        <v>112</v>
      </c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61" t="s">
        <v>160</v>
      </c>
      <c r="B42" s="60"/>
      <c r="C42" s="60"/>
      <c r="D42" s="60"/>
      <c r="E42" s="60"/>
      <c r="F42" s="60"/>
      <c r="G42" s="60"/>
      <c r="H42" s="60"/>
      <c r="I42" s="60"/>
      <c r="J42" s="61"/>
    </row>
    <row r="43" spans="1:10">
      <c r="A43" s="61"/>
      <c r="B43" s="60"/>
      <c r="C43" s="60"/>
      <c r="D43" s="60"/>
      <c r="E43" s="60"/>
      <c r="F43" s="60"/>
      <c r="G43" s="60"/>
      <c r="H43" s="60"/>
      <c r="I43" s="60"/>
      <c r="J43" s="61"/>
    </row>
    <row r="44" spans="1:10">
      <c r="A44" s="206" t="s">
        <v>243</v>
      </c>
      <c r="B44" s="165"/>
      <c r="C44" s="60"/>
      <c r="D44" s="60"/>
      <c r="E44" s="60"/>
      <c r="F44" s="60"/>
      <c r="G44" s="60"/>
      <c r="H44" s="60"/>
      <c r="I44" s="60"/>
      <c r="J44" s="61"/>
    </row>
    <row r="45" spans="1:10" ht="30" customHeight="1">
      <c r="A45" s="121"/>
      <c r="B45" s="122"/>
      <c r="C45" s="122"/>
      <c r="D45" s="122"/>
      <c r="E45" s="122"/>
      <c r="F45" s="122"/>
      <c r="G45" s="122"/>
      <c r="H45" s="122"/>
      <c r="I45" s="122"/>
      <c r="J45" s="122"/>
    </row>
    <row r="46" spans="1:10">
      <c r="A46" s="61"/>
      <c r="B46" s="60"/>
      <c r="C46" s="60"/>
      <c r="D46" s="60"/>
      <c r="E46" s="60"/>
      <c r="F46" s="60"/>
      <c r="G46" s="60"/>
      <c r="H46" s="60"/>
      <c r="I46" s="60"/>
      <c r="J46" s="61"/>
    </row>
    <row r="48" spans="1:10">
      <c r="J48" s="61"/>
    </row>
  </sheetData>
  <mergeCells count="10">
    <mergeCell ref="A45:J45"/>
    <mergeCell ref="A8:A9"/>
    <mergeCell ref="A10:J10"/>
    <mergeCell ref="A13:J13"/>
    <mergeCell ref="A18:J18"/>
    <mergeCell ref="A20:J20"/>
    <mergeCell ref="A23:J23"/>
    <mergeCell ref="A25:J25"/>
    <mergeCell ref="A28:J28"/>
    <mergeCell ref="A15:J15"/>
  </mergeCells>
  <phoneticPr fontId="3" type="noConversion"/>
  <pageMargins left="1" right="1" top="1" bottom="1" header="0.5" footer="0.5"/>
  <pageSetup scale="58" orientation="landscape" horizontalDpi="4294967292" verticalDpi="4294967292"/>
  <rowBreaks count="2" manualBreakCount="2">
    <brk id="38" max="16383" man="1" pt="1"/>
    <brk id="75" max="16383" man="1" pt="1"/>
  </rowBreaks>
  <colBreaks count="1" manualBreakCount="1">
    <brk id="10" max="1048575" man="1" pt="1"/>
  </colBreaks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F1DE-1865-6944-9873-27A10BF19DBD}">
  <sheetPr>
    <pageSetUpPr fitToPage="1"/>
  </sheetPr>
  <dimension ref="A1:M45"/>
  <sheetViews>
    <sheetView zoomScaleNormal="100" zoomScalePageLayoutView="75" workbookViewId="0"/>
  </sheetViews>
  <sheetFormatPr baseColWidth="10" defaultColWidth="11" defaultRowHeight="16" customHeight="1"/>
  <cols>
    <col min="1" max="1" width="58.33203125" style="29" customWidth="1"/>
    <col min="2" max="2" width="58.83203125" style="29" customWidth="1"/>
    <col min="3" max="3" width="17" style="3" customWidth="1"/>
    <col min="4" max="4" width="35.83203125" style="3" customWidth="1"/>
    <col min="5" max="5" width="17" style="3" customWidth="1"/>
    <col min="6" max="6" width="17" style="38" customWidth="1"/>
    <col min="7" max="7" width="17.1640625" style="38" customWidth="1"/>
    <col min="8" max="8" width="17" style="38" customWidth="1"/>
    <col min="9" max="9" width="30.83203125" style="38" customWidth="1"/>
    <col min="10" max="10" width="22.33203125" style="38" bestFit="1" customWidth="1"/>
    <col min="11" max="11" width="25.6640625" style="38" bestFit="1" customWidth="1"/>
    <col min="12" max="12" width="19.1640625" style="3" customWidth="1"/>
    <col min="13" max="13" width="40.83203125" style="3" customWidth="1"/>
    <col min="14" max="16384" width="11" style="3"/>
  </cols>
  <sheetData>
    <row r="1" spans="1:13" ht="16" customHeight="1">
      <c r="A1" s="2" t="str">
        <f>'PTE Summary'!A1</f>
        <v>[Company Name]</v>
      </c>
      <c r="B1" s="27"/>
      <c r="C1" s="54"/>
      <c r="D1" s="54"/>
      <c r="E1" s="54"/>
      <c r="F1" s="1"/>
      <c r="G1" s="1"/>
      <c r="H1" s="1"/>
      <c r="I1" s="1"/>
      <c r="J1" s="1"/>
      <c r="K1" s="1"/>
      <c r="L1" s="54"/>
      <c r="M1" s="54"/>
    </row>
    <row r="2" spans="1:13" ht="16" customHeight="1">
      <c r="A2" s="26"/>
      <c r="B2" s="26"/>
      <c r="C2" s="54"/>
      <c r="D2" s="54"/>
      <c r="E2" s="54"/>
      <c r="F2" s="1"/>
      <c r="G2" s="1"/>
      <c r="H2" s="1"/>
      <c r="I2" s="1"/>
      <c r="J2" s="1"/>
      <c r="K2" s="1"/>
      <c r="L2" s="54"/>
      <c r="M2" s="54"/>
    </row>
    <row r="3" spans="1:13" ht="16" customHeight="1">
      <c r="A3" s="26" t="s">
        <v>129</v>
      </c>
      <c r="B3" s="26"/>
      <c r="C3" s="54"/>
      <c r="D3" s="54"/>
      <c r="E3" s="54"/>
      <c r="F3" s="1"/>
      <c r="G3" s="1"/>
      <c r="H3" s="1"/>
      <c r="I3" s="1"/>
      <c r="J3" s="1"/>
      <c r="K3" s="1"/>
      <c r="L3" s="54"/>
      <c r="M3" s="54"/>
    </row>
    <row r="4" spans="1:13" ht="16" customHeight="1">
      <c r="A4" s="26"/>
      <c r="B4" s="26"/>
      <c r="C4" s="54"/>
      <c r="D4" s="54"/>
      <c r="E4" s="54"/>
      <c r="F4" s="1"/>
      <c r="G4" s="1"/>
      <c r="H4" s="1"/>
      <c r="I4" s="1"/>
      <c r="J4" s="1"/>
      <c r="K4" s="1"/>
      <c r="L4" s="54"/>
      <c r="M4" s="54"/>
    </row>
    <row r="5" spans="1:13" ht="16" customHeight="1">
      <c r="A5" s="75" t="s">
        <v>62</v>
      </c>
      <c r="B5" s="76" t="s">
        <v>63</v>
      </c>
      <c r="C5" s="77" t="s">
        <v>61</v>
      </c>
      <c r="D5" s="77" t="s">
        <v>77</v>
      </c>
      <c r="E5" s="77" t="s">
        <v>105</v>
      </c>
      <c r="F5" s="87" t="s">
        <v>60</v>
      </c>
      <c r="G5" s="78" t="s">
        <v>64</v>
      </c>
      <c r="H5" s="78" t="s">
        <v>65</v>
      </c>
      <c r="I5" s="78" t="s">
        <v>66</v>
      </c>
      <c r="J5" s="78" t="s">
        <v>67</v>
      </c>
      <c r="K5" s="78" t="s">
        <v>70</v>
      </c>
      <c r="L5" s="78" t="s">
        <v>83</v>
      </c>
      <c r="M5" s="55" t="s">
        <v>68</v>
      </c>
    </row>
    <row r="6" spans="1:13" ht="16" customHeight="1">
      <c r="A6" s="128" t="s">
        <v>73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</row>
    <row r="7" spans="1:13" ht="16" customHeight="1">
      <c r="A7" s="114" t="s">
        <v>161</v>
      </c>
      <c r="B7" s="114" t="s">
        <v>161</v>
      </c>
      <c r="C7" s="115" t="s">
        <v>71</v>
      </c>
      <c r="D7" s="115"/>
      <c r="E7" s="115"/>
      <c r="F7" s="116" t="s">
        <v>79</v>
      </c>
      <c r="G7" s="116" t="s">
        <v>79</v>
      </c>
      <c r="H7" s="116" t="s">
        <v>79</v>
      </c>
      <c r="I7" s="116" t="s">
        <v>80</v>
      </c>
      <c r="J7" s="116"/>
      <c r="K7" s="116"/>
      <c r="L7" s="116"/>
      <c r="M7" s="116"/>
    </row>
    <row r="8" spans="1:13" ht="16" customHeight="1">
      <c r="A8" s="114" t="s">
        <v>162</v>
      </c>
      <c r="B8" s="114" t="s">
        <v>162</v>
      </c>
      <c r="C8" s="115" t="s">
        <v>71</v>
      </c>
      <c r="D8" s="115"/>
      <c r="E8" s="115"/>
      <c r="F8" s="116" t="s">
        <v>79</v>
      </c>
      <c r="G8" s="116" t="s">
        <v>79</v>
      </c>
      <c r="H8" s="116" t="s">
        <v>79</v>
      </c>
      <c r="I8" s="116" t="s">
        <v>80</v>
      </c>
      <c r="J8" s="116"/>
      <c r="K8" s="116"/>
      <c r="L8" s="116"/>
      <c r="M8" s="116"/>
    </row>
    <row r="9" spans="1:13" ht="16" customHeight="1">
      <c r="A9" s="114" t="s">
        <v>163</v>
      </c>
      <c r="B9" s="114" t="s">
        <v>163</v>
      </c>
      <c r="C9" s="115" t="s">
        <v>71</v>
      </c>
      <c r="D9" s="115"/>
      <c r="E9" s="115"/>
      <c r="F9" s="116" t="s">
        <v>79</v>
      </c>
      <c r="G9" s="116" t="s">
        <v>79</v>
      </c>
      <c r="H9" s="116" t="s">
        <v>79</v>
      </c>
      <c r="I9" s="116" t="s">
        <v>80</v>
      </c>
      <c r="J9" s="116"/>
      <c r="K9" s="116"/>
      <c r="L9" s="116"/>
      <c r="M9" s="116"/>
    </row>
    <row r="10" spans="1:13" ht="16" customHeight="1">
      <c r="A10" s="114" t="s">
        <v>164</v>
      </c>
      <c r="B10" s="114" t="s">
        <v>164</v>
      </c>
      <c r="C10" s="115" t="s">
        <v>71</v>
      </c>
      <c r="D10" s="115"/>
      <c r="E10" s="115"/>
      <c r="F10" s="116" t="s">
        <v>79</v>
      </c>
      <c r="G10" s="116" t="s">
        <v>79</v>
      </c>
      <c r="H10" s="116" t="s">
        <v>79</v>
      </c>
      <c r="I10" s="116" t="s">
        <v>80</v>
      </c>
      <c r="J10" s="116"/>
      <c r="K10" s="116"/>
      <c r="L10" s="116"/>
      <c r="M10" s="116"/>
    </row>
    <row r="11" spans="1:13" ht="16" customHeight="1">
      <c r="A11" s="114" t="s">
        <v>165</v>
      </c>
      <c r="B11" s="114" t="s">
        <v>165</v>
      </c>
      <c r="C11" s="115" t="s">
        <v>71</v>
      </c>
      <c r="D11" s="115"/>
      <c r="E11" s="115"/>
      <c r="F11" s="116" t="s">
        <v>79</v>
      </c>
      <c r="G11" s="116" t="s">
        <v>79</v>
      </c>
      <c r="H11" s="116" t="s">
        <v>79</v>
      </c>
      <c r="I11" s="116" t="s">
        <v>80</v>
      </c>
      <c r="J11" s="116"/>
      <c r="K11" s="116"/>
      <c r="L11" s="116"/>
      <c r="M11" s="116"/>
    </row>
    <row r="12" spans="1:13" ht="16" customHeight="1">
      <c r="A12" s="114" t="s">
        <v>166</v>
      </c>
      <c r="B12" s="114" t="s">
        <v>166</v>
      </c>
      <c r="C12" s="115" t="s">
        <v>71</v>
      </c>
      <c r="D12" s="117"/>
      <c r="E12" s="117"/>
      <c r="F12" s="116" t="s">
        <v>79</v>
      </c>
      <c r="G12" s="116" t="s">
        <v>79</v>
      </c>
      <c r="H12" s="116" t="s">
        <v>79</v>
      </c>
      <c r="I12" s="116" t="s">
        <v>80</v>
      </c>
      <c r="J12" s="116"/>
      <c r="K12" s="116"/>
      <c r="L12" s="116"/>
      <c r="M12" s="116"/>
    </row>
    <row r="13" spans="1:13" ht="16" customHeight="1">
      <c r="A13" s="114" t="s">
        <v>167</v>
      </c>
      <c r="B13" s="114" t="s">
        <v>167</v>
      </c>
      <c r="C13" s="115" t="s">
        <v>71</v>
      </c>
      <c r="D13" s="117"/>
      <c r="E13" s="117"/>
      <c r="F13" s="116" t="s">
        <v>79</v>
      </c>
      <c r="G13" s="116" t="s">
        <v>79</v>
      </c>
      <c r="H13" s="116" t="s">
        <v>79</v>
      </c>
      <c r="I13" s="116" t="s">
        <v>80</v>
      </c>
      <c r="J13" s="116"/>
      <c r="K13" s="116"/>
      <c r="L13" s="116"/>
      <c r="M13" s="116"/>
    </row>
    <row r="14" spans="1:13" ht="16" customHeight="1">
      <c r="A14" s="114" t="s">
        <v>168</v>
      </c>
      <c r="B14" s="114" t="s">
        <v>168</v>
      </c>
      <c r="C14" s="115" t="s">
        <v>71</v>
      </c>
      <c r="D14" s="117"/>
      <c r="E14" s="117"/>
      <c r="F14" s="116" t="s">
        <v>79</v>
      </c>
      <c r="G14" s="116" t="s">
        <v>79</v>
      </c>
      <c r="H14" s="116" t="s">
        <v>79</v>
      </c>
      <c r="I14" s="116" t="s">
        <v>80</v>
      </c>
      <c r="J14" s="116"/>
      <c r="K14" s="116"/>
      <c r="L14" s="116"/>
      <c r="M14" s="116"/>
    </row>
    <row r="15" spans="1:13" ht="16" customHeight="1">
      <c r="A15" s="114" t="s">
        <v>169</v>
      </c>
      <c r="B15" s="114" t="s">
        <v>169</v>
      </c>
      <c r="C15" s="115" t="s">
        <v>71</v>
      </c>
      <c r="D15" s="117"/>
      <c r="E15" s="117"/>
      <c r="F15" s="116" t="s">
        <v>79</v>
      </c>
      <c r="G15" s="116" t="s">
        <v>79</v>
      </c>
      <c r="H15" s="116" t="s">
        <v>79</v>
      </c>
      <c r="I15" s="116" t="s">
        <v>80</v>
      </c>
      <c r="J15" s="116"/>
      <c r="K15" s="116"/>
      <c r="L15" s="116"/>
      <c r="M15" s="116"/>
    </row>
    <row r="16" spans="1:13" ht="16" customHeight="1">
      <c r="A16" s="114" t="s">
        <v>170</v>
      </c>
      <c r="B16" s="114" t="s">
        <v>170</v>
      </c>
      <c r="C16" s="115" t="s">
        <v>71</v>
      </c>
      <c r="D16" s="117"/>
      <c r="E16" s="117"/>
      <c r="F16" s="116" t="s">
        <v>79</v>
      </c>
      <c r="G16" s="116" t="s">
        <v>79</v>
      </c>
      <c r="H16" s="116" t="s">
        <v>79</v>
      </c>
      <c r="I16" s="116" t="s">
        <v>80</v>
      </c>
      <c r="J16" s="116"/>
      <c r="K16" s="116"/>
      <c r="L16" s="116"/>
      <c r="M16" s="116"/>
    </row>
    <row r="17" spans="1:13" ht="16" customHeight="1">
      <c r="A17" s="128" t="s">
        <v>74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30"/>
    </row>
    <row r="18" spans="1:13" ht="16" customHeight="1">
      <c r="A18" s="114" t="s">
        <v>147</v>
      </c>
      <c r="B18" s="118" t="s">
        <v>173</v>
      </c>
      <c r="C18" s="115"/>
      <c r="D18" s="115" t="s">
        <v>71</v>
      </c>
      <c r="E18" s="115" t="s">
        <v>71</v>
      </c>
      <c r="F18" s="115"/>
      <c r="G18" s="115"/>
      <c r="H18" s="115"/>
      <c r="I18" s="116" t="s">
        <v>82</v>
      </c>
      <c r="J18" s="116"/>
      <c r="K18" s="116"/>
      <c r="L18" s="116"/>
      <c r="M18" s="116"/>
    </row>
    <row r="19" spans="1:13" ht="16" customHeight="1">
      <c r="A19" s="114" t="s">
        <v>148</v>
      </c>
      <c r="B19" s="118" t="s">
        <v>173</v>
      </c>
      <c r="C19" s="115"/>
      <c r="D19" s="115" t="s">
        <v>71</v>
      </c>
      <c r="E19" s="115" t="s">
        <v>71</v>
      </c>
      <c r="F19" s="115"/>
      <c r="G19" s="115"/>
      <c r="H19" s="115"/>
      <c r="I19" s="116" t="s">
        <v>82</v>
      </c>
      <c r="J19" s="116"/>
      <c r="K19" s="116"/>
      <c r="L19" s="116"/>
      <c r="M19" s="116"/>
    </row>
    <row r="20" spans="1:13" ht="16" customHeight="1">
      <c r="A20" s="114" t="s">
        <v>149</v>
      </c>
      <c r="B20" s="118" t="s">
        <v>173</v>
      </c>
      <c r="C20" s="115"/>
      <c r="D20" s="115" t="s">
        <v>71</v>
      </c>
      <c r="E20" s="115" t="s">
        <v>71</v>
      </c>
      <c r="F20" s="115"/>
      <c r="G20" s="115"/>
      <c r="H20" s="115"/>
      <c r="I20" s="116" t="s">
        <v>82</v>
      </c>
      <c r="J20" s="116"/>
      <c r="K20" s="116"/>
      <c r="L20" s="116"/>
      <c r="M20" s="116"/>
    </row>
    <row r="21" spans="1:13" ht="16" customHeight="1">
      <c r="A21" s="114" t="s">
        <v>150</v>
      </c>
      <c r="B21" s="118" t="s">
        <v>173</v>
      </c>
      <c r="C21" s="115"/>
      <c r="D21" s="115" t="s">
        <v>71</v>
      </c>
      <c r="E21" s="115" t="s">
        <v>71</v>
      </c>
      <c r="F21" s="115"/>
      <c r="G21" s="115"/>
      <c r="H21" s="115"/>
      <c r="I21" s="116" t="s">
        <v>82</v>
      </c>
      <c r="J21" s="116"/>
      <c r="K21" s="116"/>
      <c r="L21" s="116"/>
      <c r="M21" s="116"/>
    </row>
    <row r="22" spans="1:13" ht="16" customHeight="1">
      <c r="A22" s="128" t="s">
        <v>76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30"/>
    </row>
    <row r="23" spans="1:13" ht="16" customHeight="1">
      <c r="A23" s="118" t="s">
        <v>103</v>
      </c>
      <c r="B23" s="118" t="s">
        <v>104</v>
      </c>
      <c r="C23" s="115" t="s">
        <v>71</v>
      </c>
      <c r="D23" s="115" t="s">
        <v>78</v>
      </c>
      <c r="E23" s="115" t="s">
        <v>71</v>
      </c>
      <c r="F23" s="115" t="s">
        <v>71</v>
      </c>
      <c r="G23" s="115" t="s">
        <v>71</v>
      </c>
      <c r="H23" s="115" t="s">
        <v>71</v>
      </c>
      <c r="I23" s="116" t="s">
        <v>81</v>
      </c>
      <c r="J23" s="119"/>
      <c r="K23" s="119"/>
      <c r="L23" s="120"/>
      <c r="M23" s="116"/>
    </row>
    <row r="24" spans="1:13" ht="16" customHeight="1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30"/>
    </row>
    <row r="25" spans="1:13" ht="16" customHeight="1">
      <c r="A25" s="118"/>
      <c r="B25" s="118"/>
      <c r="C25" s="115"/>
      <c r="D25" s="115"/>
      <c r="E25" s="115"/>
      <c r="F25" s="115"/>
      <c r="G25" s="115"/>
      <c r="H25" s="115"/>
      <c r="I25" s="116"/>
      <c r="J25" s="119"/>
      <c r="K25" s="119"/>
      <c r="L25" s="120"/>
      <c r="M25" s="116"/>
    </row>
    <row r="26" spans="1:13" ht="16" customHeight="1">
      <c r="A26" s="118"/>
      <c r="B26" s="118"/>
      <c r="C26" s="115"/>
      <c r="D26" s="115"/>
      <c r="E26" s="115"/>
      <c r="F26" s="115"/>
      <c r="G26" s="115"/>
      <c r="H26" s="115"/>
      <c r="I26" s="116"/>
      <c r="J26" s="119"/>
      <c r="K26" s="119"/>
      <c r="L26" s="120"/>
      <c r="M26" s="116"/>
    </row>
    <row r="27" spans="1:13" ht="16" customHeight="1">
      <c r="A27" s="118"/>
      <c r="B27" s="118"/>
      <c r="C27" s="115"/>
      <c r="D27" s="115"/>
      <c r="E27" s="115"/>
      <c r="F27" s="115"/>
      <c r="G27" s="115"/>
      <c r="H27" s="115"/>
      <c r="I27" s="116"/>
      <c r="J27" s="119"/>
      <c r="K27" s="119"/>
      <c r="L27" s="120"/>
      <c r="M27" s="116"/>
    </row>
    <row r="28" spans="1:13" ht="16" customHeight="1">
      <c r="A28" s="118"/>
      <c r="B28" s="118"/>
      <c r="C28" s="115"/>
      <c r="D28" s="115"/>
      <c r="E28" s="115"/>
      <c r="F28" s="115"/>
      <c r="G28" s="115"/>
      <c r="H28" s="115"/>
      <c r="I28" s="116"/>
      <c r="J28" s="119"/>
      <c r="K28" s="119"/>
      <c r="L28" s="120"/>
      <c r="M28" s="116"/>
    </row>
    <row r="29" spans="1:13" ht="16" customHeight="1">
      <c r="A29" s="118"/>
      <c r="B29" s="118"/>
      <c r="C29" s="115"/>
      <c r="D29" s="115"/>
      <c r="E29" s="115"/>
      <c r="F29" s="115"/>
      <c r="G29" s="115"/>
      <c r="H29" s="115"/>
      <c r="I29" s="116"/>
      <c r="J29" s="119"/>
      <c r="K29" s="119"/>
      <c r="L29" s="120"/>
      <c r="M29" s="116"/>
    </row>
    <row r="30" spans="1:13" ht="16" customHeight="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30"/>
    </row>
    <row r="31" spans="1:13" ht="16" customHeight="1">
      <c r="A31" s="118"/>
      <c r="B31" s="118"/>
      <c r="C31" s="115"/>
      <c r="D31" s="115"/>
      <c r="E31" s="115"/>
      <c r="F31" s="115"/>
      <c r="G31" s="115"/>
      <c r="H31" s="115"/>
      <c r="I31" s="116"/>
      <c r="J31" s="119"/>
      <c r="K31" s="119"/>
      <c r="L31" s="120"/>
      <c r="M31" s="116"/>
    </row>
    <row r="32" spans="1:13" ht="16" customHeight="1">
      <c r="A32" s="118"/>
      <c r="B32" s="118"/>
      <c r="C32" s="115"/>
      <c r="D32" s="115"/>
      <c r="E32" s="115"/>
      <c r="F32" s="115"/>
      <c r="G32" s="115"/>
      <c r="H32" s="115"/>
      <c r="I32" s="116"/>
      <c r="J32" s="119"/>
      <c r="K32" s="119"/>
      <c r="L32" s="120"/>
      <c r="M32" s="116"/>
    </row>
    <row r="33" spans="1:13" ht="16" customHeight="1">
      <c r="A33" s="118"/>
      <c r="B33" s="118"/>
      <c r="C33" s="115"/>
      <c r="D33" s="115"/>
      <c r="E33" s="115"/>
      <c r="F33" s="115"/>
      <c r="G33" s="115"/>
      <c r="H33" s="115"/>
      <c r="I33" s="116"/>
      <c r="J33" s="119"/>
      <c r="K33" s="119"/>
      <c r="L33" s="120"/>
      <c r="M33" s="116"/>
    </row>
    <row r="34" spans="1:13" ht="16" customHeight="1">
      <c r="A34" s="118"/>
      <c r="B34" s="118"/>
      <c r="C34" s="115"/>
      <c r="D34" s="115"/>
      <c r="E34" s="115"/>
      <c r="F34" s="115"/>
      <c r="G34" s="115"/>
      <c r="H34" s="115"/>
      <c r="I34" s="116"/>
      <c r="J34" s="119"/>
      <c r="K34" s="119"/>
      <c r="L34" s="120"/>
      <c r="M34" s="116"/>
    </row>
    <row r="35" spans="1:13" ht="16" customHeight="1">
      <c r="A35" s="118"/>
      <c r="B35" s="118"/>
      <c r="C35" s="115"/>
      <c r="D35" s="115"/>
      <c r="E35" s="115"/>
      <c r="F35" s="115"/>
      <c r="G35" s="115"/>
      <c r="H35" s="115"/>
      <c r="I35" s="116"/>
      <c r="J35" s="119"/>
      <c r="K35" s="119"/>
      <c r="L35" s="120"/>
      <c r="M35" s="116"/>
    </row>
    <row r="36" spans="1:13" ht="16" customHeight="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</row>
    <row r="37" spans="1:13" ht="16" customHeight="1">
      <c r="A37" s="118"/>
      <c r="B37" s="118"/>
      <c r="C37" s="115"/>
      <c r="D37" s="115"/>
      <c r="E37" s="115"/>
      <c r="F37" s="115"/>
      <c r="G37" s="115"/>
      <c r="H37" s="115"/>
      <c r="I37" s="116"/>
      <c r="J37" s="119"/>
      <c r="K37" s="119"/>
      <c r="L37" s="120"/>
      <c r="M37" s="116"/>
    </row>
    <row r="38" spans="1:13" ht="16" customHeight="1">
      <c r="A38" s="118"/>
      <c r="B38" s="118"/>
      <c r="C38" s="115"/>
      <c r="D38" s="115"/>
      <c r="E38" s="115"/>
      <c r="F38" s="115"/>
      <c r="G38" s="115"/>
      <c r="H38" s="115"/>
      <c r="I38" s="116"/>
      <c r="J38" s="119"/>
      <c r="K38" s="119"/>
      <c r="L38" s="120"/>
      <c r="M38" s="116"/>
    </row>
    <row r="39" spans="1:13" ht="16" customHeight="1">
      <c r="A39" s="118"/>
      <c r="B39" s="118"/>
      <c r="C39" s="115"/>
      <c r="D39" s="115"/>
      <c r="E39" s="115"/>
      <c r="F39" s="115"/>
      <c r="G39" s="115"/>
      <c r="H39" s="115"/>
      <c r="I39" s="116"/>
      <c r="J39" s="119"/>
      <c r="K39" s="119"/>
      <c r="L39" s="120"/>
      <c r="M39" s="116"/>
    </row>
    <row r="40" spans="1:13" ht="16" customHeight="1">
      <c r="A40" s="118"/>
      <c r="B40" s="118"/>
      <c r="C40" s="115"/>
      <c r="D40" s="115"/>
      <c r="E40" s="115"/>
      <c r="F40" s="115"/>
      <c r="G40" s="115"/>
      <c r="H40" s="115"/>
      <c r="I40" s="116"/>
      <c r="J40" s="119"/>
      <c r="K40" s="119"/>
      <c r="L40" s="120"/>
      <c r="M40" s="116"/>
    </row>
    <row r="41" spans="1:13" ht="16" customHeight="1">
      <c r="A41" s="118"/>
      <c r="B41" s="118"/>
      <c r="C41" s="115"/>
      <c r="D41" s="115"/>
      <c r="E41" s="115"/>
      <c r="F41" s="115"/>
      <c r="G41" s="115"/>
      <c r="H41" s="115"/>
      <c r="I41" s="116"/>
      <c r="J41" s="119"/>
      <c r="K41" s="119"/>
      <c r="L41" s="120"/>
      <c r="M41" s="116"/>
    </row>
    <row r="42" spans="1:13" s="29" customFormat="1" ht="16" customHeight="1">
      <c r="F42" s="30"/>
      <c r="G42" s="30"/>
      <c r="H42" s="30"/>
      <c r="I42" s="30"/>
      <c r="J42" s="30"/>
      <c r="K42" s="30"/>
    </row>
    <row r="43" spans="1:13" ht="16" customHeight="1">
      <c r="A43" s="28" t="s">
        <v>113</v>
      </c>
    </row>
    <row r="44" spans="1:13" ht="16" customHeight="1">
      <c r="A44" s="28"/>
    </row>
    <row r="45" spans="1:13" ht="16" customHeight="1">
      <c r="A45" s="209" t="s">
        <v>244</v>
      </c>
      <c r="B45" s="3"/>
    </row>
  </sheetData>
  <mergeCells count="6">
    <mergeCell ref="A6:M6"/>
    <mergeCell ref="A24:M24"/>
    <mergeCell ref="A30:M30"/>
    <mergeCell ref="A36:M36"/>
    <mergeCell ref="A17:M17"/>
    <mergeCell ref="A22:M22"/>
  </mergeCells>
  <pageMargins left="1" right="1" top="1" bottom="1" header="0.5" footer="0.5"/>
  <pageSetup scale="28" orientation="landscape" horizontalDpi="4294967292" verticalDpi="4294967292"/>
  <rowBreaks count="1" manualBreakCount="1">
    <brk id="50" max="16383" man="1" pt="1"/>
  </rowBreaks>
  <colBreaks count="1" manualBreakCount="1">
    <brk id="13" max="1048575" man="1" pt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3"/>
  <sheetViews>
    <sheetView zoomScaleNormal="100" zoomScalePageLayoutView="75" workbookViewId="0"/>
  </sheetViews>
  <sheetFormatPr baseColWidth="10" defaultColWidth="11" defaultRowHeight="16"/>
  <cols>
    <col min="1" max="1" width="30" style="3" customWidth="1"/>
    <col min="2" max="2" width="20.83203125" style="3" customWidth="1"/>
    <col min="3" max="3" width="17.83203125" style="3" bestFit="1" customWidth="1"/>
    <col min="4" max="7" width="22.33203125" style="3" customWidth="1"/>
    <col min="8" max="8" width="22.1640625" style="3" customWidth="1"/>
    <col min="9" max="10" width="22.33203125" style="3" customWidth="1"/>
    <col min="11" max="11" width="19.33203125" style="3" bestFit="1" customWidth="1"/>
    <col min="12" max="12" width="13.5" style="3" bestFit="1" customWidth="1"/>
    <col min="13" max="16384" width="11" style="3"/>
  </cols>
  <sheetData>
    <row r="1" spans="1:11">
      <c r="A1" s="2" t="s">
        <v>128</v>
      </c>
      <c r="B1" s="54"/>
      <c r="C1" s="54"/>
      <c r="D1" s="54"/>
      <c r="E1" s="54"/>
      <c r="F1" s="54"/>
      <c r="G1" s="54"/>
      <c r="H1" s="54"/>
      <c r="I1" s="54"/>
      <c r="J1" s="54"/>
    </row>
    <row r="2" spans="1:11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1">
      <c r="A3" s="54" t="s">
        <v>106</v>
      </c>
      <c r="B3" s="54"/>
      <c r="C3" s="54"/>
      <c r="D3" s="54"/>
      <c r="E3" s="54"/>
      <c r="F3" s="54"/>
      <c r="G3" s="54"/>
      <c r="H3" s="54"/>
      <c r="I3" s="54"/>
      <c r="J3" s="54"/>
    </row>
    <row r="4" spans="1:11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1" ht="16" customHeight="1">
      <c r="A5" s="80" t="s">
        <v>130</v>
      </c>
      <c r="B5" s="81" t="s">
        <v>131</v>
      </c>
      <c r="C5" s="81" t="s">
        <v>36</v>
      </c>
      <c r="D5" s="81" t="s">
        <v>110</v>
      </c>
      <c r="E5" s="81" t="s">
        <v>111</v>
      </c>
    </row>
    <row r="6" spans="1:11" ht="17">
      <c r="A6" s="82" t="s">
        <v>140</v>
      </c>
      <c r="B6" s="92"/>
      <c r="C6" s="52" t="s">
        <v>109</v>
      </c>
      <c r="D6" s="98"/>
      <c r="E6" s="99"/>
    </row>
    <row r="7" spans="1:11" ht="17">
      <c r="A7" s="82" t="s">
        <v>107</v>
      </c>
      <c r="B7" s="92"/>
      <c r="C7" s="52" t="s">
        <v>132</v>
      </c>
      <c r="D7" s="98"/>
      <c r="E7" s="99"/>
    </row>
    <row r="8" spans="1:11">
      <c r="A8" s="54"/>
      <c r="B8" s="54"/>
      <c r="C8" s="54"/>
      <c r="D8" s="54"/>
      <c r="E8" s="54"/>
      <c r="F8" s="54"/>
      <c r="G8" s="54"/>
      <c r="H8" s="54"/>
      <c r="I8" s="54"/>
      <c r="J8" s="54"/>
    </row>
    <row r="9" spans="1:11" ht="15" customHeight="1">
      <c r="A9" s="57" t="s">
        <v>108</v>
      </c>
      <c r="B9" s="53"/>
      <c r="C9" s="53"/>
      <c r="D9" s="53"/>
      <c r="E9" s="53"/>
      <c r="F9" s="53"/>
      <c r="G9" s="53"/>
      <c r="H9" s="58"/>
      <c r="I9" s="57"/>
      <c r="J9" s="53"/>
    </row>
    <row r="10" spans="1:11">
      <c r="A10" s="7"/>
      <c r="B10" s="57"/>
      <c r="C10" s="53"/>
      <c r="D10" s="53"/>
      <c r="E10" s="131" t="s">
        <v>138</v>
      </c>
      <c r="F10" s="151"/>
      <c r="G10" s="151"/>
      <c r="H10" s="151"/>
      <c r="I10" s="131" t="s">
        <v>139</v>
      </c>
      <c r="J10" s="151"/>
      <c r="K10" s="151"/>
    </row>
    <row r="11" spans="1:11" ht="18">
      <c r="A11" s="134" t="s">
        <v>25</v>
      </c>
      <c r="B11" s="134" t="s">
        <v>26</v>
      </c>
      <c r="C11" s="134" t="s">
        <v>0</v>
      </c>
      <c r="D11" s="79" t="s">
        <v>20</v>
      </c>
      <c r="E11" s="79" t="s">
        <v>21</v>
      </c>
      <c r="F11" s="79" t="s">
        <v>22</v>
      </c>
      <c r="G11" s="79" t="s">
        <v>22</v>
      </c>
      <c r="H11" s="79" t="s">
        <v>22</v>
      </c>
      <c r="I11" s="79" t="s">
        <v>23</v>
      </c>
      <c r="J11" s="79" t="s">
        <v>24</v>
      </c>
      <c r="K11" s="79" t="s">
        <v>133</v>
      </c>
    </row>
    <row r="12" spans="1:11" ht="18">
      <c r="A12" s="210"/>
      <c r="B12" s="210"/>
      <c r="C12" s="135"/>
      <c r="D12" s="83" t="s">
        <v>27</v>
      </c>
      <c r="E12" s="83" t="s">
        <v>134</v>
      </c>
      <c r="F12" s="83" t="s">
        <v>8</v>
      </c>
      <c r="G12" s="83" t="s">
        <v>8</v>
      </c>
      <c r="H12" s="83" t="s">
        <v>8</v>
      </c>
      <c r="I12" s="83" t="s">
        <v>135</v>
      </c>
      <c r="J12" s="83" t="s">
        <v>8</v>
      </c>
      <c r="K12" s="83" t="s">
        <v>8</v>
      </c>
    </row>
    <row r="13" spans="1:11">
      <c r="A13" s="211"/>
      <c r="B13" s="211"/>
      <c r="C13" s="135"/>
      <c r="D13" s="84" t="s">
        <v>9</v>
      </c>
      <c r="E13" s="84" t="s">
        <v>10</v>
      </c>
      <c r="F13" s="84" t="s">
        <v>9</v>
      </c>
      <c r="G13" s="84" t="s">
        <v>11</v>
      </c>
      <c r="H13" s="84" t="s">
        <v>12</v>
      </c>
      <c r="I13" s="84" t="s">
        <v>13</v>
      </c>
      <c r="J13" s="84" t="s">
        <v>11</v>
      </c>
      <c r="K13" s="84" t="s">
        <v>7</v>
      </c>
    </row>
    <row r="14" spans="1:11" ht="16" customHeight="1">
      <c r="A14" s="85" t="s">
        <v>140</v>
      </c>
      <c r="B14" s="92"/>
      <c r="C14" s="93"/>
      <c r="D14" s="94"/>
      <c r="E14" s="16">
        <v>5.2</v>
      </c>
      <c r="F14" s="95">
        <f>D14*E14/1000</f>
        <v>0</v>
      </c>
      <c r="G14" s="95">
        <f>ROUND(F14*8760/2000,2)</f>
        <v>0</v>
      </c>
      <c r="H14" s="95">
        <f>ROUND(F14*24,2)</f>
        <v>0</v>
      </c>
      <c r="I14" s="86">
        <v>0.99</v>
      </c>
      <c r="J14" s="95">
        <f>G14*(1-I14)</f>
        <v>0</v>
      </c>
      <c r="K14" s="97" t="s">
        <v>136</v>
      </c>
    </row>
    <row r="15" spans="1:11" ht="16" customHeight="1">
      <c r="A15" s="85" t="s">
        <v>107</v>
      </c>
      <c r="B15" s="92"/>
      <c r="C15" s="93"/>
      <c r="D15" s="94"/>
      <c r="E15" s="16">
        <v>5.2</v>
      </c>
      <c r="F15" s="95">
        <f>D15*E15/1000</f>
        <v>0</v>
      </c>
      <c r="G15" s="95">
        <f>ROUND(F15*8760/2000,2)</f>
        <v>0</v>
      </c>
      <c r="H15" s="95">
        <f>ROUND(F15*24,2)</f>
        <v>0</v>
      </c>
      <c r="I15" s="86">
        <v>0.99</v>
      </c>
      <c r="J15" s="95">
        <f>G15*(1-I15)</f>
        <v>0</v>
      </c>
      <c r="K15" s="97" t="s">
        <v>136</v>
      </c>
    </row>
    <row r="16" spans="1:11">
      <c r="A16" s="39"/>
      <c r="B16" s="40"/>
      <c r="C16" s="40"/>
      <c r="D16" s="40"/>
      <c r="E16" s="41" t="s">
        <v>32</v>
      </c>
      <c r="F16" s="96">
        <f>SUM(F14:F15)</f>
        <v>0</v>
      </c>
      <c r="G16" s="96">
        <f>SUM(G14:G15)</f>
        <v>0</v>
      </c>
      <c r="H16" s="96">
        <f>SUM(H14:H15)</f>
        <v>0</v>
      </c>
      <c r="I16" s="15"/>
      <c r="J16" s="96">
        <f>SUM(J14:J15)</f>
        <v>0</v>
      </c>
      <c r="K16" s="96">
        <f>SUM(K14:K15)</f>
        <v>0</v>
      </c>
    </row>
    <row r="17" spans="1:12">
      <c r="A17" s="9"/>
      <c r="B17" s="10"/>
      <c r="C17" s="11"/>
      <c r="D17" s="11"/>
      <c r="E17" s="11"/>
      <c r="F17" s="4"/>
      <c r="G17" s="4"/>
      <c r="H17" s="4"/>
      <c r="I17" s="4"/>
      <c r="J17" s="8"/>
      <c r="K17" s="6"/>
      <c r="L17" s="9"/>
    </row>
    <row r="18" spans="1:12">
      <c r="A18" s="54" t="s">
        <v>113</v>
      </c>
      <c r="B18" s="53"/>
      <c r="C18" s="53"/>
      <c r="D18" s="53"/>
      <c r="E18" s="53"/>
      <c r="F18" s="53"/>
      <c r="G18" s="12"/>
      <c r="H18" s="54"/>
      <c r="I18" s="54"/>
      <c r="J18" s="53"/>
    </row>
    <row r="19" spans="1:12">
      <c r="A19" s="54"/>
      <c r="B19" s="53"/>
      <c r="C19" s="53"/>
      <c r="D19" s="53"/>
      <c r="E19" s="53"/>
      <c r="F19" s="53"/>
      <c r="G19" s="12"/>
      <c r="H19" s="54"/>
      <c r="I19" s="54"/>
      <c r="J19" s="53"/>
    </row>
    <row r="20" spans="1:12" ht="18">
      <c r="A20" s="26" t="s">
        <v>174</v>
      </c>
      <c r="B20" s="53"/>
      <c r="C20" s="53"/>
      <c r="D20" s="53"/>
      <c r="E20" s="53"/>
      <c r="F20" s="53"/>
      <c r="G20" s="13"/>
      <c r="H20" s="54"/>
      <c r="I20" s="54"/>
      <c r="J20" s="54"/>
    </row>
    <row r="21" spans="1:12" ht="16" customHeight="1">
      <c r="A21" s="14" t="s">
        <v>245</v>
      </c>
      <c r="B21" s="57"/>
      <c r="C21" s="57"/>
      <c r="D21" s="57"/>
      <c r="E21" s="57"/>
      <c r="F21" s="57"/>
      <c r="G21" s="12"/>
      <c r="H21" s="57"/>
      <c r="I21" s="54"/>
      <c r="J21" s="54"/>
    </row>
    <row r="22" spans="1:12" ht="16" customHeight="1">
      <c r="A22" s="133" t="s">
        <v>72</v>
      </c>
      <c r="B22" s="133"/>
      <c r="C22" s="133"/>
      <c r="D22" s="133"/>
      <c r="E22" s="133"/>
      <c r="F22" s="133"/>
      <c r="G22" s="53"/>
      <c r="H22" s="53"/>
      <c r="I22" s="54"/>
      <c r="J22" s="54"/>
    </row>
    <row r="23" spans="1:12" ht="16" customHeight="1">
      <c r="A23" s="54"/>
      <c r="B23" s="138" t="s">
        <v>48</v>
      </c>
      <c r="C23" s="138"/>
      <c r="D23" s="138"/>
      <c r="E23" s="138"/>
      <c r="F23" s="54"/>
      <c r="G23" s="53"/>
      <c r="H23" s="53"/>
      <c r="I23" s="54"/>
      <c r="J23" s="54"/>
    </row>
    <row r="24" spans="1:12" ht="16" customHeight="1">
      <c r="A24" s="54"/>
      <c r="B24" s="138" t="s">
        <v>49</v>
      </c>
      <c r="C24" s="138"/>
      <c r="D24" s="138"/>
      <c r="E24" s="138"/>
      <c r="F24" s="138"/>
      <c r="G24" s="53"/>
      <c r="H24" s="53"/>
      <c r="I24" s="54"/>
      <c r="J24" s="54"/>
    </row>
    <row r="25" spans="1:12" ht="16" customHeight="1">
      <c r="A25" s="54" t="s">
        <v>137</v>
      </c>
      <c r="B25" s="54"/>
      <c r="C25" s="54"/>
      <c r="D25" s="54"/>
      <c r="E25" s="54"/>
      <c r="F25" s="54"/>
      <c r="G25" s="53"/>
      <c r="H25" s="53"/>
      <c r="I25" s="54"/>
      <c r="J25" s="54"/>
    </row>
    <row r="26" spans="1:12" ht="15" customHeight="1">
      <c r="A26" s="53"/>
      <c r="B26" s="53"/>
      <c r="C26" s="53"/>
      <c r="D26" s="53"/>
      <c r="E26" s="53"/>
      <c r="F26" s="53"/>
      <c r="G26" s="53"/>
      <c r="H26" s="54"/>
      <c r="I26" s="54"/>
      <c r="J26" s="54"/>
    </row>
    <row r="27" spans="1:12">
      <c r="A27" s="54" t="s">
        <v>176</v>
      </c>
      <c r="B27" s="54"/>
      <c r="C27" s="54"/>
      <c r="D27" s="54"/>
      <c r="E27" s="54"/>
      <c r="F27" s="54"/>
      <c r="G27" s="54"/>
      <c r="H27" s="54"/>
      <c r="I27" s="54"/>
      <c r="J27" s="54"/>
    </row>
    <row r="28" spans="1:12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29" spans="1:12">
      <c r="A29" s="2"/>
      <c r="B29" s="2"/>
      <c r="C29" s="136" t="s">
        <v>14</v>
      </c>
      <c r="D29" s="137"/>
      <c r="E29" s="81" t="s">
        <v>28</v>
      </c>
      <c r="F29" s="54"/>
      <c r="G29" s="54"/>
    </row>
    <row r="30" spans="1:12" ht="34">
      <c r="A30" s="80" t="s">
        <v>15</v>
      </c>
      <c r="B30" s="81" t="s">
        <v>16</v>
      </c>
      <c r="C30" s="88" t="s">
        <v>18</v>
      </c>
      <c r="D30" s="88" t="s">
        <v>19</v>
      </c>
      <c r="E30" s="88" t="s">
        <v>1</v>
      </c>
    </row>
    <row r="31" spans="1:12" ht="15" customHeight="1">
      <c r="A31" s="89" t="s">
        <v>107</v>
      </c>
      <c r="B31" s="52" t="s">
        <v>132</v>
      </c>
      <c r="C31" s="100" t="s">
        <v>142</v>
      </c>
      <c r="D31" s="100" t="s">
        <v>142</v>
      </c>
      <c r="E31" s="91" t="e">
        <f>ROUND(D31*(100%-I15),2)</f>
        <v>#VALUE!</v>
      </c>
    </row>
    <row r="32" spans="1:12" ht="15" customHeight="1">
      <c r="A32" s="160"/>
      <c r="B32" s="161"/>
      <c r="C32" s="162"/>
      <c r="D32" s="163"/>
      <c r="E32" s="163"/>
    </row>
    <row r="33" spans="1:10">
      <c r="A33" s="54" t="s">
        <v>113</v>
      </c>
      <c r="B33" s="54"/>
      <c r="C33" s="54"/>
      <c r="D33" s="54"/>
      <c r="E33" s="54"/>
      <c r="F33" s="54"/>
      <c r="G33" s="54"/>
      <c r="H33" s="54"/>
      <c r="I33" s="17"/>
      <c r="J33" s="4"/>
    </row>
    <row r="34" spans="1:10">
      <c r="A34" s="54"/>
      <c r="B34" s="54"/>
      <c r="C34" s="54"/>
      <c r="D34" s="54"/>
      <c r="E34" s="54"/>
      <c r="F34" s="54"/>
      <c r="G34" s="54"/>
      <c r="H34" s="54"/>
      <c r="I34" s="17"/>
      <c r="J34" s="4"/>
    </row>
    <row r="35" spans="1:10" ht="71" customHeight="1">
      <c r="A35" s="132" t="s">
        <v>145</v>
      </c>
      <c r="B35" s="212"/>
      <c r="C35" s="212"/>
      <c r="D35" s="212"/>
      <c r="E35" s="212"/>
      <c r="F35" s="212"/>
      <c r="G35" s="212"/>
      <c r="H35" s="54"/>
      <c r="I35" s="54"/>
      <c r="J35" s="54"/>
    </row>
    <row r="36" spans="1:10" ht="15" customHeight="1">
      <c r="A36" s="160"/>
      <c r="B36" s="161"/>
      <c r="C36" s="162"/>
      <c r="D36" s="163"/>
      <c r="E36" s="163"/>
    </row>
    <row r="37" spans="1:10">
      <c r="A37" s="164" t="s">
        <v>175</v>
      </c>
      <c r="B37" s="51"/>
      <c r="C37" s="51"/>
      <c r="D37" s="51"/>
      <c r="E37" s="51"/>
      <c r="F37" s="51"/>
      <c r="G37" s="15"/>
      <c r="H37" s="15"/>
      <c r="I37" s="54"/>
      <c r="J37" s="54"/>
    </row>
    <row r="38" spans="1:10" ht="15" customHeight="1">
      <c r="A38" s="54"/>
      <c r="B38" s="54"/>
      <c r="C38" s="54"/>
      <c r="D38" s="54"/>
      <c r="E38" s="54"/>
      <c r="F38" s="54"/>
      <c r="G38" s="54"/>
      <c r="H38" s="54"/>
    </row>
    <row r="39" spans="1:10">
      <c r="A39" s="101" t="s">
        <v>143</v>
      </c>
      <c r="B39" s="102" t="e">
        <f>G16+D31</f>
        <v>#VALUE!</v>
      </c>
      <c r="C39" s="54"/>
      <c r="D39" s="54"/>
      <c r="E39" s="54"/>
      <c r="F39" s="54"/>
      <c r="G39" s="54"/>
      <c r="H39" s="54"/>
    </row>
    <row r="40" spans="1:10">
      <c r="A40" s="101" t="s">
        <v>144</v>
      </c>
      <c r="B40" s="102" t="e">
        <f>J16+E31</f>
        <v>#VALUE!</v>
      </c>
      <c r="C40" s="54"/>
      <c r="D40" s="54"/>
      <c r="E40" s="54"/>
      <c r="F40" s="54"/>
      <c r="G40" s="54"/>
      <c r="H40" s="54"/>
      <c r="I40" s="17"/>
      <c r="J40" s="4"/>
    </row>
    <row r="41" spans="1:10">
      <c r="A41" s="54"/>
      <c r="B41" s="54"/>
      <c r="C41" s="54"/>
      <c r="D41" s="54"/>
      <c r="E41" s="54"/>
      <c r="F41" s="54"/>
      <c r="G41" s="54"/>
      <c r="H41" s="54"/>
      <c r="I41" s="17"/>
      <c r="J41" s="4"/>
    </row>
    <row r="42" spans="1:10">
      <c r="A42" s="213" t="s">
        <v>243</v>
      </c>
      <c r="B42" s="214"/>
    </row>
    <row r="43" spans="1:10">
      <c r="A43" s="209" t="s">
        <v>244</v>
      </c>
    </row>
    <row r="45" spans="1:10">
      <c r="A45" s="57" t="s">
        <v>114</v>
      </c>
      <c r="B45" s="54"/>
      <c r="C45" s="54"/>
      <c r="D45" s="54"/>
      <c r="E45" s="54"/>
      <c r="F45" s="54"/>
      <c r="G45" s="54"/>
      <c r="H45" s="54"/>
      <c r="I45" s="54"/>
      <c r="J45" s="54"/>
    </row>
    <row r="46" spans="1:10">
      <c r="A46" s="57"/>
      <c r="B46" s="54"/>
      <c r="C46" s="54"/>
      <c r="D46" s="54"/>
      <c r="E46" s="54"/>
      <c r="F46" s="54"/>
      <c r="G46" s="54"/>
      <c r="H46" s="54"/>
      <c r="I46" s="54"/>
      <c r="J46" s="54"/>
    </row>
    <row r="47" spans="1:10">
      <c r="A47" s="90" t="s">
        <v>141</v>
      </c>
      <c r="B47" s="90"/>
      <c r="C47" s="90"/>
      <c r="D47" s="54"/>
      <c r="E47" s="54"/>
      <c r="F47" s="54"/>
      <c r="G47" s="54"/>
      <c r="H47" s="54"/>
      <c r="I47" s="54"/>
      <c r="J47" s="54"/>
    </row>
    <row r="48" spans="1:10">
      <c r="A48" s="54"/>
      <c r="B48" s="54"/>
      <c r="C48" s="54"/>
      <c r="D48" s="54"/>
      <c r="E48" s="54"/>
      <c r="F48" s="54"/>
      <c r="G48" s="54"/>
      <c r="H48" s="54"/>
      <c r="I48" s="54"/>
      <c r="J48" s="54"/>
    </row>
    <row r="49" spans="1:10">
      <c r="A49" s="54" t="s">
        <v>152</v>
      </c>
      <c r="B49" s="54"/>
      <c r="C49" s="54"/>
      <c r="D49" s="54"/>
      <c r="E49" s="54"/>
      <c r="F49" s="54"/>
      <c r="G49" s="54"/>
      <c r="H49" s="54"/>
      <c r="I49" s="54"/>
      <c r="J49" s="54"/>
    </row>
    <row r="50" spans="1:10">
      <c r="A50" s="54"/>
      <c r="B50" s="54"/>
      <c r="C50" s="54"/>
      <c r="D50" s="54"/>
      <c r="E50" s="54"/>
      <c r="F50" s="54"/>
      <c r="G50" s="54"/>
      <c r="H50" s="54"/>
      <c r="I50" s="54"/>
      <c r="J50" s="54"/>
    </row>
    <row r="51" spans="1:10">
      <c r="A51" s="54"/>
      <c r="B51" s="54"/>
      <c r="C51" s="54"/>
      <c r="D51" s="54"/>
      <c r="E51" s="54"/>
      <c r="F51" s="54"/>
      <c r="G51" s="54"/>
      <c r="H51" s="54"/>
      <c r="I51" s="54"/>
      <c r="J51" s="54"/>
    </row>
    <row r="52" spans="1:10">
      <c r="A52" s="54"/>
      <c r="B52" s="54"/>
      <c r="C52" s="54"/>
      <c r="D52" s="54"/>
      <c r="E52" s="54"/>
      <c r="F52" s="54"/>
      <c r="G52" s="54"/>
      <c r="H52" s="54"/>
      <c r="I52" s="54"/>
      <c r="J52" s="54"/>
    </row>
    <row r="53" spans="1:10">
      <c r="A53" s="54"/>
      <c r="B53" s="54"/>
      <c r="C53" s="54"/>
      <c r="D53" s="54"/>
      <c r="E53" s="54"/>
      <c r="F53" s="54"/>
      <c r="G53" s="54"/>
      <c r="H53" s="54"/>
      <c r="I53" s="54"/>
      <c r="J53" s="54"/>
    </row>
    <row r="54" spans="1:10">
      <c r="A54" s="54"/>
      <c r="B54" s="54"/>
      <c r="C54" s="54"/>
      <c r="D54" s="54"/>
      <c r="E54" s="54"/>
      <c r="F54" s="54"/>
      <c r="G54" s="54"/>
      <c r="H54" s="54"/>
      <c r="I54" s="54"/>
      <c r="J54" s="54"/>
    </row>
    <row r="55" spans="1:10">
      <c r="A55" s="54"/>
      <c r="B55" s="54"/>
      <c r="C55" s="54"/>
      <c r="D55" s="54"/>
      <c r="E55" s="54"/>
      <c r="F55" s="54"/>
      <c r="G55" s="54"/>
      <c r="H55" s="54"/>
      <c r="I55" s="54"/>
      <c r="J55" s="54"/>
    </row>
    <row r="56" spans="1:10">
      <c r="A56" s="54"/>
      <c r="B56" s="54"/>
      <c r="C56" s="54"/>
      <c r="D56" s="54"/>
      <c r="E56" s="54"/>
      <c r="F56" s="54"/>
      <c r="G56" s="54"/>
      <c r="H56" s="54"/>
      <c r="I56" s="54"/>
      <c r="J56" s="54"/>
    </row>
    <row r="57" spans="1:10">
      <c r="B57" s="54"/>
      <c r="C57" s="54"/>
      <c r="D57" s="54"/>
      <c r="E57" s="54"/>
      <c r="F57" s="54"/>
      <c r="G57" s="54"/>
      <c r="H57" s="54"/>
      <c r="I57" s="54"/>
      <c r="J57" s="54"/>
    </row>
    <row r="58" spans="1:10">
      <c r="A58" s="54"/>
      <c r="B58" s="54"/>
      <c r="C58" s="54"/>
      <c r="D58" s="54"/>
      <c r="E58" s="54"/>
      <c r="F58" s="54"/>
      <c r="G58" s="54"/>
      <c r="H58" s="54"/>
      <c r="I58" s="54"/>
      <c r="J58" s="54"/>
    </row>
    <row r="59" spans="1:10">
      <c r="A59" s="54"/>
      <c r="B59" s="54"/>
      <c r="C59" s="54"/>
      <c r="D59" s="54"/>
      <c r="E59" s="54"/>
      <c r="F59" s="54"/>
      <c r="G59" s="54"/>
      <c r="H59" s="54"/>
      <c r="I59" s="54"/>
      <c r="J59" s="54"/>
    </row>
    <row r="60" spans="1:10">
      <c r="A60" s="54"/>
      <c r="B60" s="54"/>
      <c r="C60" s="54"/>
      <c r="D60" s="54"/>
      <c r="E60" s="54"/>
      <c r="F60" s="54"/>
      <c r="G60" s="54"/>
      <c r="H60" s="54"/>
      <c r="I60" s="54"/>
      <c r="J60" s="54"/>
    </row>
    <row r="61" spans="1:10">
      <c r="A61" s="54"/>
      <c r="B61" s="54"/>
      <c r="C61" s="54"/>
      <c r="D61" s="54"/>
      <c r="E61" s="54"/>
      <c r="F61" s="54"/>
      <c r="G61" s="54"/>
      <c r="H61" s="54"/>
      <c r="I61" s="54"/>
      <c r="J61" s="54"/>
    </row>
    <row r="62" spans="1:10">
      <c r="A62" s="54"/>
      <c r="B62" s="54"/>
      <c r="C62" s="54"/>
      <c r="D62" s="54"/>
      <c r="E62" s="54"/>
      <c r="F62" s="54"/>
      <c r="G62" s="54"/>
      <c r="H62" s="54"/>
      <c r="I62" s="54"/>
      <c r="J62" s="54"/>
    </row>
    <row r="63" spans="1:10">
      <c r="A63" s="54"/>
      <c r="B63" s="54"/>
      <c r="C63" s="54"/>
      <c r="D63" s="54"/>
      <c r="E63" s="54"/>
      <c r="F63" s="54"/>
      <c r="G63" s="54"/>
      <c r="H63" s="54"/>
      <c r="I63" s="54"/>
      <c r="J63" s="54"/>
    </row>
  </sheetData>
  <mergeCells count="10">
    <mergeCell ref="E10:H10"/>
    <mergeCell ref="I10:K10"/>
    <mergeCell ref="A35:G35"/>
    <mergeCell ref="A22:F22"/>
    <mergeCell ref="C11:C13"/>
    <mergeCell ref="C29:D29"/>
    <mergeCell ref="B23:E23"/>
    <mergeCell ref="B24:F24"/>
    <mergeCell ref="A11:A13"/>
    <mergeCell ref="B11:B13"/>
  </mergeCells>
  <phoneticPr fontId="3" type="noConversion"/>
  <pageMargins left="1" right="1" top="1" bottom="1" header="0.5" footer="0.5"/>
  <pageSetup scale="27" orientation="landscape" horizontalDpi="4294967292" verticalDpi="4294967292"/>
  <rowBreaks count="1" manualBreakCount="1">
    <brk id="32" max="16383" man="1"/>
  </rowBreaks>
  <colBreaks count="1" manualBreakCount="1">
    <brk id="12" max="1048575" man="1"/>
  </colBreaks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29"/>
  <sheetViews>
    <sheetView zoomScaleNormal="100" zoomScalePageLayoutView="50" workbookViewId="0"/>
  </sheetViews>
  <sheetFormatPr baseColWidth="10" defaultColWidth="11" defaultRowHeight="16"/>
  <cols>
    <col min="1" max="1" width="11.1640625" style="3" bestFit="1" customWidth="1"/>
    <col min="2" max="2" width="12.5" style="3" customWidth="1"/>
    <col min="3" max="3" width="17.5" style="3" bestFit="1" customWidth="1"/>
    <col min="4" max="4" width="11.1640625" style="3" bestFit="1" customWidth="1"/>
    <col min="5" max="5" width="15.5" style="3" customWidth="1"/>
    <col min="6" max="6" width="13.83203125" style="3" customWidth="1"/>
    <col min="7" max="7" width="17" style="3" bestFit="1" customWidth="1"/>
    <col min="8" max="8" width="14" style="3" bestFit="1" customWidth="1"/>
    <col min="9" max="9" width="14.5" style="3" customWidth="1"/>
    <col min="10" max="11" width="11.1640625" style="3" bestFit="1" customWidth="1"/>
    <col min="12" max="12" width="11" style="3"/>
    <col min="13" max="13" width="11.1640625" style="3" bestFit="1" customWidth="1"/>
    <col min="14" max="15" width="11" style="3"/>
    <col min="16" max="17" width="13.6640625" style="3" bestFit="1" customWidth="1"/>
    <col min="18" max="18" width="14.6640625" style="3" bestFit="1" customWidth="1"/>
    <col min="19" max="19" width="14" style="3" bestFit="1" customWidth="1"/>
    <col min="20" max="20" width="13.6640625" style="3" bestFit="1" customWidth="1"/>
    <col min="21" max="22" width="11.1640625" style="3" bestFit="1" customWidth="1"/>
    <col min="23" max="16384" width="11" style="3"/>
  </cols>
  <sheetData>
    <row r="1" spans="1:23">
      <c r="A1" s="19" t="s">
        <v>146</v>
      </c>
      <c r="B1" s="19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>
      <c r="A2" s="9"/>
      <c r="B2" s="9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>
      <c r="A3" s="33" t="s">
        <v>217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>
      <c r="A5" s="43"/>
      <c r="E5" s="147" t="s">
        <v>84</v>
      </c>
      <c r="F5" s="154"/>
      <c r="G5" s="154"/>
      <c r="H5" s="154"/>
      <c r="I5" s="154"/>
      <c r="J5" s="154"/>
      <c r="K5" s="155"/>
      <c r="L5" s="147" t="s">
        <v>58</v>
      </c>
      <c r="M5" s="148"/>
      <c r="N5" s="148"/>
      <c r="O5" s="148"/>
      <c r="P5" s="149"/>
      <c r="Q5" s="147" t="s">
        <v>59</v>
      </c>
      <c r="R5" s="148"/>
      <c r="S5" s="148"/>
      <c r="T5" s="148"/>
      <c r="U5" s="149"/>
      <c r="V5" s="150" t="s">
        <v>85</v>
      </c>
    </row>
    <row r="6" spans="1:23" ht="34">
      <c r="A6" s="150" t="s">
        <v>93</v>
      </c>
      <c r="B6" s="44" t="s">
        <v>35</v>
      </c>
      <c r="C6" s="44" t="s">
        <v>35</v>
      </c>
      <c r="D6" s="152" t="s">
        <v>86</v>
      </c>
      <c r="E6" s="45" t="s">
        <v>87</v>
      </c>
      <c r="F6" s="45" t="s">
        <v>115</v>
      </c>
      <c r="G6" s="45" t="s">
        <v>116</v>
      </c>
      <c r="H6" s="45" t="s">
        <v>118</v>
      </c>
      <c r="I6" s="45" t="s">
        <v>88</v>
      </c>
      <c r="J6" s="45" t="s">
        <v>332</v>
      </c>
      <c r="K6" s="45" t="s">
        <v>34</v>
      </c>
      <c r="L6" s="45" t="s">
        <v>50</v>
      </c>
      <c r="M6" s="44" t="s">
        <v>31</v>
      </c>
      <c r="N6" s="44" t="s">
        <v>52</v>
      </c>
      <c r="O6" s="44" t="s">
        <v>53</v>
      </c>
      <c r="P6" s="44" t="s">
        <v>57</v>
      </c>
      <c r="Q6" s="45" t="s">
        <v>43</v>
      </c>
      <c r="R6" s="44" t="s">
        <v>44</v>
      </c>
      <c r="S6" s="44" t="s">
        <v>45</v>
      </c>
      <c r="T6" s="44" t="s">
        <v>46</v>
      </c>
      <c r="U6" s="44" t="s">
        <v>51</v>
      </c>
      <c r="V6" s="151"/>
    </row>
    <row r="7" spans="1:23">
      <c r="A7" s="151"/>
      <c r="B7" s="46" t="s">
        <v>89</v>
      </c>
      <c r="C7" s="46" t="s">
        <v>90</v>
      </c>
      <c r="D7" s="153"/>
      <c r="E7" s="47">
        <v>7.6</v>
      </c>
      <c r="F7" s="47">
        <v>1.9</v>
      </c>
      <c r="G7" s="47">
        <v>0.6</v>
      </c>
      <c r="H7" s="45">
        <v>100</v>
      </c>
      <c r="I7" s="45">
        <v>84</v>
      </c>
      <c r="J7" s="47">
        <v>11</v>
      </c>
      <c r="K7" s="48">
        <v>5.5</v>
      </c>
      <c r="L7" s="49">
        <v>2.1000000000000003E-3</v>
      </c>
      <c r="M7" s="49">
        <v>1.2000000000000001E-3</v>
      </c>
      <c r="N7" s="49">
        <v>7.4999999999999997E-2</v>
      </c>
      <c r="O7" s="49">
        <v>1.8</v>
      </c>
      <c r="P7" s="49">
        <v>3.4000000000000002E-3</v>
      </c>
      <c r="Q7" s="49">
        <v>5.0000000000000001E-4</v>
      </c>
      <c r="R7" s="49">
        <v>1.1000000000000001E-3</v>
      </c>
      <c r="S7" s="49">
        <v>1.4E-3</v>
      </c>
      <c r="T7" s="49">
        <v>3.8000000000000002E-4</v>
      </c>
      <c r="U7" s="49">
        <v>2.1000000000000003E-3</v>
      </c>
      <c r="V7" s="151"/>
    </row>
    <row r="8" spans="1:23">
      <c r="A8" s="139" t="s">
        <v>147</v>
      </c>
      <c r="B8" s="141"/>
      <c r="C8" s="143">
        <f>ROUND(B8/1000,5)</f>
        <v>0</v>
      </c>
      <c r="D8" s="50" t="s">
        <v>91</v>
      </c>
      <c r="E8" s="105">
        <f>ROUND(C8*E$7,2)</f>
        <v>0</v>
      </c>
      <c r="F8" s="105">
        <f>ROUND(C8*F$7,2)</f>
        <v>0</v>
      </c>
      <c r="G8" s="105">
        <f>ROUND(C8*G$7,2)</f>
        <v>0</v>
      </c>
      <c r="H8" s="105">
        <f>ROUND(C8*H$7,2)</f>
        <v>0</v>
      </c>
      <c r="I8" s="105">
        <f>ROUND(C8*I$7,2)</f>
        <v>0</v>
      </c>
      <c r="J8" s="105">
        <f>ROUND(C8*J$7,2)</f>
        <v>0</v>
      </c>
      <c r="K8" s="105">
        <f>ROUND(C8*K$7,2)</f>
        <v>0</v>
      </c>
      <c r="L8" s="105">
        <f>ROUND(C8*L$7,2)</f>
        <v>0</v>
      </c>
      <c r="M8" s="105">
        <f>ROUND(C8*M$7,2)</f>
        <v>0</v>
      </c>
      <c r="N8" s="105">
        <f>ROUND(C8*N$7,2)</f>
        <v>0</v>
      </c>
      <c r="O8" s="105">
        <f>ROUND(C8*O$7,2)</f>
        <v>0</v>
      </c>
      <c r="P8" s="105">
        <f>ROUND(C8*P$7,2)</f>
        <v>0</v>
      </c>
      <c r="Q8" s="105">
        <f>ROUND(C8*Q$7,2)</f>
        <v>0</v>
      </c>
      <c r="R8" s="105">
        <f>ROUND(C8*R$7,2)</f>
        <v>0</v>
      </c>
      <c r="S8" s="105">
        <f>ROUND(C8*S$7,2)</f>
        <v>0</v>
      </c>
      <c r="T8" s="105">
        <f>ROUND(C8*T$7,2)</f>
        <v>0</v>
      </c>
      <c r="U8" s="105">
        <f>ROUND(C8*U$7,2)</f>
        <v>0</v>
      </c>
      <c r="V8" s="105">
        <f t="shared" ref="V8:V13" si="0">SUM(L8:U8)</f>
        <v>0</v>
      </c>
    </row>
    <row r="9" spans="1:23">
      <c r="A9" s="140"/>
      <c r="B9" s="142"/>
      <c r="C9" s="144"/>
      <c r="D9" s="50" t="s">
        <v>92</v>
      </c>
      <c r="E9" s="105">
        <f t="shared" ref="E9:U15" si="1">ROUND(E8*8760/2000,2)</f>
        <v>0</v>
      </c>
      <c r="F9" s="106">
        <f t="shared" si="1"/>
        <v>0</v>
      </c>
      <c r="G9" s="106">
        <f t="shared" si="1"/>
        <v>0</v>
      </c>
      <c r="H9" s="106">
        <f t="shared" si="1"/>
        <v>0</v>
      </c>
      <c r="I9" s="106">
        <f t="shared" si="1"/>
        <v>0</v>
      </c>
      <c r="J9" s="106">
        <f t="shared" si="1"/>
        <v>0</v>
      </c>
      <c r="K9" s="106">
        <f t="shared" si="1"/>
        <v>0</v>
      </c>
      <c r="L9" s="106">
        <f t="shared" si="1"/>
        <v>0</v>
      </c>
      <c r="M9" s="106">
        <f t="shared" si="1"/>
        <v>0</v>
      </c>
      <c r="N9" s="106">
        <f t="shared" si="1"/>
        <v>0</v>
      </c>
      <c r="O9" s="106">
        <f t="shared" si="1"/>
        <v>0</v>
      </c>
      <c r="P9" s="106">
        <f t="shared" si="1"/>
        <v>0</v>
      </c>
      <c r="Q9" s="106">
        <f t="shared" si="1"/>
        <v>0</v>
      </c>
      <c r="R9" s="106">
        <f t="shared" si="1"/>
        <v>0</v>
      </c>
      <c r="S9" s="106">
        <f t="shared" si="1"/>
        <v>0</v>
      </c>
      <c r="T9" s="106">
        <f t="shared" si="1"/>
        <v>0</v>
      </c>
      <c r="U9" s="106">
        <f t="shared" si="1"/>
        <v>0</v>
      </c>
      <c r="V9" s="105">
        <f t="shared" si="0"/>
        <v>0</v>
      </c>
    </row>
    <row r="10" spans="1:23">
      <c r="A10" s="139" t="s">
        <v>148</v>
      </c>
      <c r="B10" s="141"/>
      <c r="C10" s="143">
        <f>ROUND(B10/1000,5)</f>
        <v>0</v>
      </c>
      <c r="D10" s="50" t="s">
        <v>91</v>
      </c>
      <c r="E10" s="105">
        <f>ROUND(C10*E$7,2)</f>
        <v>0</v>
      </c>
      <c r="F10" s="105">
        <f>ROUND(C10*F$7,2)</f>
        <v>0</v>
      </c>
      <c r="G10" s="105">
        <f>ROUND(C10*G$7,2)</f>
        <v>0</v>
      </c>
      <c r="H10" s="105">
        <f>ROUND(C10*H$7,2)</f>
        <v>0</v>
      </c>
      <c r="I10" s="105">
        <f>ROUND(C10*I$7,2)</f>
        <v>0</v>
      </c>
      <c r="J10" s="105">
        <f>ROUND(C10*J$7,2)</f>
        <v>0</v>
      </c>
      <c r="K10" s="105">
        <f>ROUND(C10*K$7,2)</f>
        <v>0</v>
      </c>
      <c r="L10" s="105">
        <f>ROUND(C10*L$7,2)</f>
        <v>0</v>
      </c>
      <c r="M10" s="105">
        <f>ROUND(C10*M$7,2)</f>
        <v>0</v>
      </c>
      <c r="N10" s="105">
        <f>ROUND(C10*N$7,2)</f>
        <v>0</v>
      </c>
      <c r="O10" s="105">
        <f>ROUND(C10*O$7,2)</f>
        <v>0</v>
      </c>
      <c r="P10" s="105">
        <f>ROUND(C10*P$7,2)</f>
        <v>0</v>
      </c>
      <c r="Q10" s="105">
        <f>ROUND(C10*Q$7,2)</f>
        <v>0</v>
      </c>
      <c r="R10" s="105">
        <f>ROUND(C10*R$7,2)</f>
        <v>0</v>
      </c>
      <c r="S10" s="105">
        <f>ROUND(C10*S$7,2)</f>
        <v>0</v>
      </c>
      <c r="T10" s="105">
        <f>ROUND(C10*T$7,2)</f>
        <v>0</v>
      </c>
      <c r="U10" s="105">
        <f>ROUND(C10*U$7,2)</f>
        <v>0</v>
      </c>
      <c r="V10" s="105">
        <f t="shared" si="0"/>
        <v>0</v>
      </c>
    </row>
    <row r="11" spans="1:23">
      <c r="A11" s="140"/>
      <c r="B11" s="142"/>
      <c r="C11" s="144"/>
      <c r="D11" s="50" t="s">
        <v>92</v>
      </c>
      <c r="E11" s="105">
        <f t="shared" si="1"/>
        <v>0</v>
      </c>
      <c r="F11" s="106">
        <f t="shared" si="1"/>
        <v>0</v>
      </c>
      <c r="G11" s="106">
        <f t="shared" ref="G11:U11" si="2">ROUND(G10*8760/2000,2)</f>
        <v>0</v>
      </c>
      <c r="H11" s="106">
        <f t="shared" si="2"/>
        <v>0</v>
      </c>
      <c r="I11" s="106">
        <f t="shared" si="2"/>
        <v>0</v>
      </c>
      <c r="J11" s="106">
        <f t="shared" si="2"/>
        <v>0</v>
      </c>
      <c r="K11" s="106">
        <f t="shared" si="2"/>
        <v>0</v>
      </c>
      <c r="L11" s="106">
        <f t="shared" si="2"/>
        <v>0</v>
      </c>
      <c r="M11" s="106">
        <f t="shared" si="2"/>
        <v>0</v>
      </c>
      <c r="N11" s="106">
        <f t="shared" si="2"/>
        <v>0</v>
      </c>
      <c r="O11" s="106">
        <f t="shared" si="2"/>
        <v>0</v>
      </c>
      <c r="P11" s="106">
        <f t="shared" si="2"/>
        <v>0</v>
      </c>
      <c r="Q11" s="106">
        <f t="shared" si="2"/>
        <v>0</v>
      </c>
      <c r="R11" s="106">
        <f t="shared" si="2"/>
        <v>0</v>
      </c>
      <c r="S11" s="106">
        <f t="shared" si="2"/>
        <v>0</v>
      </c>
      <c r="T11" s="106">
        <f t="shared" si="2"/>
        <v>0</v>
      </c>
      <c r="U11" s="106">
        <f t="shared" si="2"/>
        <v>0</v>
      </c>
      <c r="V11" s="105">
        <f t="shared" si="0"/>
        <v>0</v>
      </c>
    </row>
    <row r="12" spans="1:23">
      <c r="A12" s="139" t="s">
        <v>149</v>
      </c>
      <c r="B12" s="141"/>
      <c r="C12" s="143">
        <f>ROUND(B12/1000,5)</f>
        <v>0</v>
      </c>
      <c r="D12" s="50" t="s">
        <v>91</v>
      </c>
      <c r="E12" s="105">
        <f>ROUND(C12*E$7,2)</f>
        <v>0</v>
      </c>
      <c r="F12" s="105">
        <f>ROUND(C12*F$7,2)</f>
        <v>0</v>
      </c>
      <c r="G12" s="105">
        <f>ROUND(C12*G$7,2)</f>
        <v>0</v>
      </c>
      <c r="H12" s="105">
        <f>ROUND(C12*H$7,2)</f>
        <v>0</v>
      </c>
      <c r="I12" s="105">
        <f>ROUND(C12*I$7,2)</f>
        <v>0</v>
      </c>
      <c r="J12" s="105">
        <f>ROUND(C12*J$7,2)</f>
        <v>0</v>
      </c>
      <c r="K12" s="105">
        <f>ROUND(C12*K$7,2)</f>
        <v>0</v>
      </c>
      <c r="L12" s="105">
        <f>ROUND(C12*L$7,2)</f>
        <v>0</v>
      </c>
      <c r="M12" s="105">
        <f>ROUND(C12*M$7,2)</f>
        <v>0</v>
      </c>
      <c r="N12" s="105">
        <f>ROUND(C12*N$7,2)</f>
        <v>0</v>
      </c>
      <c r="O12" s="105">
        <f>ROUND(C12*O$7,2)</f>
        <v>0</v>
      </c>
      <c r="P12" s="105">
        <f>ROUND(C12*P$7,2)</f>
        <v>0</v>
      </c>
      <c r="Q12" s="105">
        <f>ROUND(C12*Q$7,2)</f>
        <v>0</v>
      </c>
      <c r="R12" s="105">
        <f>ROUND(C12*R$7,2)</f>
        <v>0</v>
      </c>
      <c r="S12" s="105">
        <f>ROUND(C12*S$7,2)</f>
        <v>0</v>
      </c>
      <c r="T12" s="105">
        <f>ROUND(C12*T$7,2)</f>
        <v>0</v>
      </c>
      <c r="U12" s="105">
        <f>ROUND(C12*U$7,2)</f>
        <v>0</v>
      </c>
      <c r="V12" s="105">
        <f t="shared" si="0"/>
        <v>0</v>
      </c>
    </row>
    <row r="13" spans="1:23">
      <c r="A13" s="140"/>
      <c r="B13" s="142"/>
      <c r="C13" s="144"/>
      <c r="D13" s="50" t="s">
        <v>92</v>
      </c>
      <c r="E13" s="105">
        <f t="shared" si="1"/>
        <v>0</v>
      </c>
      <c r="F13" s="106">
        <f t="shared" si="1"/>
        <v>0</v>
      </c>
      <c r="G13" s="106">
        <f t="shared" ref="G13:U13" si="3">ROUND(G12*8760/2000,2)</f>
        <v>0</v>
      </c>
      <c r="H13" s="106">
        <f t="shared" si="3"/>
        <v>0</v>
      </c>
      <c r="I13" s="106">
        <f t="shared" si="3"/>
        <v>0</v>
      </c>
      <c r="J13" s="106">
        <f t="shared" si="3"/>
        <v>0</v>
      </c>
      <c r="K13" s="106">
        <f t="shared" si="3"/>
        <v>0</v>
      </c>
      <c r="L13" s="106">
        <f t="shared" si="3"/>
        <v>0</v>
      </c>
      <c r="M13" s="106">
        <f t="shared" si="3"/>
        <v>0</v>
      </c>
      <c r="N13" s="106">
        <f t="shared" si="3"/>
        <v>0</v>
      </c>
      <c r="O13" s="106">
        <f t="shared" si="3"/>
        <v>0</v>
      </c>
      <c r="P13" s="106">
        <f t="shared" si="3"/>
        <v>0</v>
      </c>
      <c r="Q13" s="106">
        <f t="shared" si="3"/>
        <v>0</v>
      </c>
      <c r="R13" s="106">
        <f t="shared" si="3"/>
        <v>0</v>
      </c>
      <c r="S13" s="106">
        <f t="shared" si="3"/>
        <v>0</v>
      </c>
      <c r="T13" s="106">
        <f t="shared" si="3"/>
        <v>0</v>
      </c>
      <c r="U13" s="106">
        <f t="shared" si="3"/>
        <v>0</v>
      </c>
      <c r="V13" s="105">
        <f t="shared" si="0"/>
        <v>0</v>
      </c>
    </row>
    <row r="14" spans="1:23">
      <c r="A14" s="139" t="s">
        <v>150</v>
      </c>
      <c r="B14" s="141"/>
      <c r="C14" s="143">
        <f>ROUND(B14/1000,5)</f>
        <v>0</v>
      </c>
      <c r="D14" s="50" t="s">
        <v>91</v>
      </c>
      <c r="E14" s="105">
        <f>ROUND(C14*E$7,2)</f>
        <v>0</v>
      </c>
      <c r="F14" s="105">
        <f>ROUND(C14*F$7,2)</f>
        <v>0</v>
      </c>
      <c r="G14" s="105">
        <f>ROUND(C14*G$7,2)</f>
        <v>0</v>
      </c>
      <c r="H14" s="105">
        <f>ROUND(C14*H$7,2)</f>
        <v>0</v>
      </c>
      <c r="I14" s="105">
        <f>ROUND(C14*I$7,2)</f>
        <v>0</v>
      </c>
      <c r="J14" s="105">
        <f>ROUND(C14*J$7,2)</f>
        <v>0</v>
      </c>
      <c r="K14" s="105">
        <f>ROUND(C14*K$7,2)</f>
        <v>0</v>
      </c>
      <c r="L14" s="105">
        <f>ROUND(C14*L$7,2)</f>
        <v>0</v>
      </c>
      <c r="M14" s="105">
        <f>ROUND(C14*M$7,2)</f>
        <v>0</v>
      </c>
      <c r="N14" s="105">
        <f>ROUND(C14*N$7,2)</f>
        <v>0</v>
      </c>
      <c r="O14" s="105">
        <f>ROUND(C14*O$7,2)</f>
        <v>0</v>
      </c>
      <c r="P14" s="105">
        <f>ROUND(C14*P$7,2)</f>
        <v>0</v>
      </c>
      <c r="Q14" s="105">
        <f>ROUND(C14*Q$7,2)</f>
        <v>0</v>
      </c>
      <c r="R14" s="105">
        <f>ROUND(C14*R$7,2)</f>
        <v>0</v>
      </c>
      <c r="S14" s="105">
        <f>ROUND(C14*S$7,2)</f>
        <v>0</v>
      </c>
      <c r="T14" s="105">
        <f>ROUND(C14*T$7,2)</f>
        <v>0</v>
      </c>
      <c r="U14" s="105">
        <f>ROUND(C14*U$7,2)</f>
        <v>0</v>
      </c>
      <c r="V14" s="105">
        <f t="shared" ref="V14:V15" si="4">SUM(L14:U14)</f>
        <v>0</v>
      </c>
    </row>
    <row r="15" spans="1:23">
      <c r="A15" s="344"/>
      <c r="B15" s="345"/>
      <c r="C15" s="346"/>
      <c r="D15" s="347" t="s">
        <v>92</v>
      </c>
      <c r="E15" s="105">
        <f t="shared" si="1"/>
        <v>0</v>
      </c>
      <c r="F15" s="106">
        <f t="shared" si="1"/>
        <v>0</v>
      </c>
      <c r="G15" s="106">
        <f t="shared" ref="G15:U15" si="5">ROUND(G14*8760/2000,2)</f>
        <v>0</v>
      </c>
      <c r="H15" s="106">
        <f t="shared" si="5"/>
        <v>0</v>
      </c>
      <c r="I15" s="106">
        <f t="shared" si="5"/>
        <v>0</v>
      </c>
      <c r="J15" s="106">
        <f t="shared" si="5"/>
        <v>0</v>
      </c>
      <c r="K15" s="106">
        <f t="shared" si="5"/>
        <v>0</v>
      </c>
      <c r="L15" s="106">
        <f t="shared" si="5"/>
        <v>0</v>
      </c>
      <c r="M15" s="106">
        <f t="shared" si="5"/>
        <v>0</v>
      </c>
      <c r="N15" s="106">
        <f t="shared" si="5"/>
        <v>0</v>
      </c>
      <c r="O15" s="106">
        <f t="shared" si="5"/>
        <v>0</v>
      </c>
      <c r="P15" s="106">
        <f t="shared" si="5"/>
        <v>0</v>
      </c>
      <c r="Q15" s="106">
        <f t="shared" si="5"/>
        <v>0</v>
      </c>
      <c r="R15" s="106">
        <f t="shared" si="5"/>
        <v>0</v>
      </c>
      <c r="S15" s="106">
        <f t="shared" si="5"/>
        <v>0</v>
      </c>
      <c r="T15" s="106">
        <f t="shared" si="5"/>
        <v>0</v>
      </c>
      <c r="U15" s="106">
        <f t="shared" si="5"/>
        <v>0</v>
      </c>
      <c r="V15" s="105">
        <f t="shared" si="4"/>
        <v>0</v>
      </c>
    </row>
    <row r="16" spans="1:23">
      <c r="A16" s="348"/>
      <c r="B16" s="349"/>
      <c r="C16" s="350"/>
      <c r="D16" s="351" t="s">
        <v>368</v>
      </c>
      <c r="E16" s="352">
        <f>SUM(E9+E11+E13+E15)</f>
        <v>0</v>
      </c>
      <c r="F16" s="352">
        <f>SUM(F9+F11+F13+F15)</f>
        <v>0</v>
      </c>
      <c r="G16" s="352">
        <f>SUM(G9+G11+G13+G15)</f>
        <v>0</v>
      </c>
      <c r="H16" s="352">
        <f>SUM(H9+H11+H13+H15)</f>
        <v>0</v>
      </c>
      <c r="I16" s="352">
        <f>SUM(I9+I11+I13+I15)</f>
        <v>0</v>
      </c>
      <c r="J16" s="352">
        <f>SUM(J9+J11+J13+J15)</f>
        <v>0</v>
      </c>
      <c r="K16" s="352">
        <f>SUM(K9+K11+K13+K15)</f>
        <v>0</v>
      </c>
      <c r="L16" s="36"/>
      <c r="M16" s="145"/>
      <c r="N16" s="146"/>
      <c r="O16" s="146"/>
      <c r="P16" s="36"/>
      <c r="Q16" s="36"/>
      <c r="R16" s="36"/>
      <c r="S16" s="36"/>
      <c r="T16" s="36"/>
      <c r="U16" s="36"/>
      <c r="V16" s="352">
        <f>SUM(V9+V11+V13+V15)</f>
        <v>0</v>
      </c>
      <c r="W16" s="36"/>
    </row>
    <row r="17" spans="1:23">
      <c r="A17" s="56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spans="1:23">
      <c r="A18" s="35" t="s">
        <v>113</v>
      </c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5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spans="1:23">
      <c r="A19" s="35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5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1:23">
      <c r="A20" s="145" t="s">
        <v>33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6"/>
      <c r="L20" s="146"/>
      <c r="M20" s="35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3">
      <c r="A21" s="145" t="s">
        <v>4</v>
      </c>
      <c r="B21" s="145"/>
      <c r="C21" s="146"/>
      <c r="D21" s="146"/>
      <c r="E21" s="146"/>
      <c r="F21" s="146"/>
      <c r="G21" s="146"/>
      <c r="H21" s="36"/>
      <c r="I21" s="36"/>
      <c r="J21" s="36"/>
      <c r="K21" s="36"/>
      <c r="L21" s="36"/>
      <c r="M21" s="145"/>
      <c r="N21" s="146"/>
      <c r="O21" s="146"/>
      <c r="P21" s="146"/>
      <c r="Q21" s="146"/>
      <c r="R21" s="146"/>
      <c r="S21" s="36"/>
      <c r="T21" s="36"/>
      <c r="U21" s="36"/>
      <c r="V21" s="36"/>
      <c r="W21" s="36"/>
    </row>
    <row r="22" spans="1:23">
      <c r="A22" s="145" t="s">
        <v>42</v>
      </c>
      <c r="B22" s="145"/>
      <c r="C22" s="146"/>
      <c r="D22" s="146"/>
      <c r="E22" s="146"/>
      <c r="F22" s="146"/>
      <c r="G22" s="146"/>
      <c r="H22" s="36"/>
      <c r="I22" s="36"/>
      <c r="J22" s="36"/>
      <c r="K22" s="36"/>
      <c r="L22" s="36"/>
      <c r="M22" s="145"/>
      <c r="N22" s="146"/>
      <c r="O22" s="146"/>
      <c r="P22" s="146"/>
      <c r="Q22" s="146"/>
      <c r="R22" s="146"/>
      <c r="S22" s="36"/>
      <c r="T22" s="36"/>
      <c r="U22" s="36"/>
      <c r="V22" s="36"/>
      <c r="W22" s="36"/>
    </row>
    <row r="23" spans="1:23">
      <c r="A23" s="35"/>
      <c r="B23" s="35"/>
      <c r="C23" s="35"/>
      <c r="D23" s="35"/>
      <c r="E23" s="35"/>
      <c r="F23" s="35"/>
      <c r="G23" s="35"/>
      <c r="H23" s="35"/>
      <c r="I23" s="35"/>
      <c r="J23" s="20"/>
      <c r="K23" s="36"/>
      <c r="L23" s="36"/>
      <c r="M23" s="35"/>
      <c r="N23" s="35"/>
      <c r="O23" s="35"/>
      <c r="P23" s="35"/>
      <c r="Q23" s="35"/>
      <c r="R23" s="35"/>
      <c r="S23" s="35"/>
      <c r="T23" s="35"/>
      <c r="U23" s="20"/>
      <c r="V23" s="36"/>
      <c r="W23" s="36"/>
    </row>
    <row r="24" spans="1:23">
      <c r="A24" s="206" t="s">
        <v>243</v>
      </c>
    </row>
    <row r="25" spans="1:23">
      <c r="A25" s="209" t="s">
        <v>244</v>
      </c>
      <c r="B25" s="215"/>
    </row>
    <row r="26" spans="1:23">
      <c r="A26" s="56"/>
      <c r="B26" s="56"/>
      <c r="C26" s="56"/>
      <c r="D26" s="56"/>
      <c r="E26" s="56"/>
      <c r="F26" s="56"/>
      <c r="G26" s="56"/>
      <c r="H26" s="56"/>
      <c r="I26" s="56"/>
      <c r="J26" s="20"/>
      <c r="K26" s="57"/>
      <c r="L26" s="57"/>
      <c r="M26" s="56"/>
      <c r="N26" s="56"/>
      <c r="O26" s="56"/>
      <c r="P26" s="56"/>
      <c r="Q26" s="56"/>
      <c r="R26" s="56"/>
      <c r="S26" s="56"/>
      <c r="T26" s="56"/>
      <c r="U26" s="20"/>
      <c r="V26" s="57"/>
      <c r="W26" s="57"/>
    </row>
    <row r="27" spans="1:23">
      <c r="A27" s="33" t="s">
        <v>114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3">
      <c r="A29" s="90" t="s">
        <v>153</v>
      </c>
      <c r="B29" s="90"/>
      <c r="C29" s="90"/>
      <c r="D29" s="90"/>
      <c r="E29" s="90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</sheetData>
  <mergeCells count="24">
    <mergeCell ref="Q5:U5"/>
    <mergeCell ref="V5:V7"/>
    <mergeCell ref="A6:A7"/>
    <mergeCell ref="D6:D7"/>
    <mergeCell ref="A12:A13"/>
    <mergeCell ref="B12:B13"/>
    <mergeCell ref="C12:C13"/>
    <mergeCell ref="E5:K5"/>
    <mergeCell ref="L5:P5"/>
    <mergeCell ref="A8:A9"/>
    <mergeCell ref="B8:B9"/>
    <mergeCell ref="C8:C9"/>
    <mergeCell ref="A22:G22"/>
    <mergeCell ref="M22:R22"/>
    <mergeCell ref="A20:L20"/>
    <mergeCell ref="M16:O16"/>
    <mergeCell ref="A21:G21"/>
    <mergeCell ref="M21:R21"/>
    <mergeCell ref="A14:A15"/>
    <mergeCell ref="B14:B15"/>
    <mergeCell ref="C14:C15"/>
    <mergeCell ref="A10:A11"/>
    <mergeCell ref="B10:B11"/>
    <mergeCell ref="C10:C11"/>
  </mergeCells>
  <phoneticPr fontId="3" type="noConversion"/>
  <pageMargins left="1" right="1" top="1" bottom="1" header="0.5" footer="0.5"/>
  <pageSetup scale="36" orientation="landscape" horizontalDpi="4294967292" verticalDpi="4294967292"/>
  <rowBreaks count="1" manualBreakCount="1">
    <brk id="24" max="16383" man="1"/>
  </rowBreaks>
  <colBreaks count="1" manualBreakCount="1">
    <brk id="23" max="1048575" man="1"/>
  </colBreaks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351A-C119-9743-8DF5-9C539E7EEE41}">
  <dimension ref="A1:W82"/>
  <sheetViews>
    <sheetView workbookViewId="0"/>
  </sheetViews>
  <sheetFormatPr baseColWidth="10" defaultRowHeight="16"/>
  <cols>
    <col min="1" max="1" width="12.33203125" style="227" customWidth="1"/>
    <col min="2" max="2" width="10.83203125" style="227"/>
    <col min="3" max="6" width="11" style="227" bestFit="1" customWidth="1"/>
    <col min="7" max="7" width="15.5" style="227" customWidth="1"/>
    <col min="8" max="15" width="11" style="227" bestFit="1" customWidth="1"/>
    <col min="16" max="17" width="11.33203125" style="227" bestFit="1" customWidth="1"/>
    <col min="18" max="19" width="12.1640625" style="227" bestFit="1" customWidth="1"/>
    <col min="20" max="20" width="11.33203125" style="227" bestFit="1" customWidth="1"/>
    <col min="21" max="21" width="12.1640625" style="227" bestFit="1" customWidth="1"/>
    <col min="22" max="22" width="11" style="227" bestFit="1" customWidth="1"/>
    <col min="23" max="16384" width="10.83203125" style="227"/>
  </cols>
  <sheetData>
    <row r="1" spans="1:21">
      <c r="A1" s="342" t="s">
        <v>351</v>
      </c>
    </row>
    <row r="3" spans="1:21">
      <c r="A3" s="227" t="s">
        <v>366</v>
      </c>
    </row>
    <row r="5" spans="1:21" s="380" customFormat="1" ht="13" customHeight="1">
      <c r="A5" s="368" t="s">
        <v>365</v>
      </c>
      <c r="B5" s="369" t="s">
        <v>325</v>
      </c>
      <c r="C5" s="370"/>
      <c r="D5" s="371"/>
      <c r="E5" s="368" t="s">
        <v>326</v>
      </c>
      <c r="F5" s="368" t="s">
        <v>327</v>
      </c>
      <c r="G5" s="372" t="s">
        <v>86</v>
      </c>
      <c r="H5" s="373" t="s">
        <v>328</v>
      </c>
      <c r="I5" s="374"/>
      <c r="J5" s="374"/>
      <c r="K5" s="374"/>
      <c r="L5" s="374"/>
      <c r="M5" s="374"/>
      <c r="N5" s="374"/>
      <c r="O5" s="375"/>
      <c r="P5" s="376" t="s">
        <v>58</v>
      </c>
      <c r="Q5" s="377"/>
      <c r="R5" s="377"/>
      <c r="S5" s="377"/>
      <c r="T5" s="378"/>
      <c r="U5" s="379" t="s">
        <v>329</v>
      </c>
    </row>
    <row r="6" spans="1:21" s="380" customFormat="1" ht="34">
      <c r="A6" s="381"/>
      <c r="B6" s="382"/>
      <c r="C6" s="383"/>
      <c r="D6" s="384"/>
      <c r="E6" s="385"/>
      <c r="F6" s="385"/>
      <c r="G6" s="386"/>
      <c r="H6" s="387" t="s">
        <v>330</v>
      </c>
      <c r="I6" s="387" t="s">
        <v>236</v>
      </c>
      <c r="J6" s="387" t="s">
        <v>378</v>
      </c>
      <c r="K6" s="387" t="s">
        <v>379</v>
      </c>
      <c r="L6" s="387" t="s">
        <v>118</v>
      </c>
      <c r="M6" s="388" t="s">
        <v>331</v>
      </c>
      <c r="N6" s="387" t="s">
        <v>332</v>
      </c>
      <c r="O6" s="387" t="s">
        <v>34</v>
      </c>
      <c r="P6" s="389" t="s">
        <v>52</v>
      </c>
      <c r="Q6" s="389" t="s">
        <v>50</v>
      </c>
      <c r="R6" s="389" t="s">
        <v>333</v>
      </c>
      <c r="S6" s="389" t="s">
        <v>57</v>
      </c>
      <c r="T6" s="389" t="s">
        <v>334</v>
      </c>
      <c r="U6" s="390"/>
    </row>
    <row r="7" spans="1:21" s="380" customFormat="1">
      <c r="A7" s="385"/>
      <c r="B7" s="391" t="s">
        <v>335</v>
      </c>
      <c r="C7" s="391" t="s">
        <v>336</v>
      </c>
      <c r="D7" s="391" t="s">
        <v>337</v>
      </c>
      <c r="E7" s="392" t="s">
        <v>338</v>
      </c>
      <c r="F7" s="393" t="s">
        <v>339</v>
      </c>
      <c r="G7" s="393" t="s">
        <v>340</v>
      </c>
      <c r="H7" s="394">
        <v>0.31</v>
      </c>
      <c r="I7" s="394">
        <v>0.31</v>
      </c>
      <c r="J7" s="394">
        <v>0.31</v>
      </c>
      <c r="K7" s="394">
        <v>0.28999999999999998</v>
      </c>
      <c r="L7" s="394">
        <v>4.41</v>
      </c>
      <c r="M7" s="394">
        <v>0.95</v>
      </c>
      <c r="N7" s="394">
        <v>0.36</v>
      </c>
      <c r="O7" s="394">
        <v>0.36</v>
      </c>
      <c r="P7" s="395">
        <v>1.1800000000000001E-3</v>
      </c>
      <c r="Q7" s="395">
        <v>9.3300000000000002E-4</v>
      </c>
      <c r="R7" s="395">
        <v>7.67E-4</v>
      </c>
      <c r="S7" s="395">
        <v>4.0900000000000002E-4</v>
      </c>
      <c r="T7" s="395">
        <v>2.8499999999999999E-4</v>
      </c>
      <c r="U7" s="396"/>
    </row>
    <row r="8" spans="1:21" s="380" customFormat="1">
      <c r="A8" s="397"/>
      <c r="B8" s="398"/>
      <c r="C8" s="399">
        <f>ROUND(B8/1.341,2)</f>
        <v>0</v>
      </c>
      <c r="D8" s="400">
        <f t="shared" ref="D8:D13" si="0">C8*3412.142/1000000</f>
        <v>0</v>
      </c>
      <c r="E8" s="401"/>
      <c r="F8" s="402"/>
      <c r="G8" s="403" t="s">
        <v>341</v>
      </c>
      <c r="H8" s="404">
        <f t="shared" ref="H8:H13" ca="1" si="1">ROUND($D8*$H$11*500/2000,5)</f>
        <v>2.563E-2</v>
      </c>
      <c r="I8" s="404">
        <f t="shared" ref="I8:I13" ca="1" si="2">ROUND($D8*$I$11*500/2000,2)</f>
        <v>0.03</v>
      </c>
      <c r="J8" s="404">
        <f t="shared" ref="J8:J13" ca="1" si="3">ROUND($D8*$J$11*500/2000,2)</f>
        <v>0.03</v>
      </c>
      <c r="K8" s="404">
        <f t="shared" ref="K8:K13" ca="1" si="4">ROUND($D8*$K$11*500/2000,2)</f>
        <v>0.02</v>
      </c>
      <c r="L8" s="404">
        <f t="shared" ref="L8:L13" ca="1" si="5">ROUND($D8*$L$11*500/2000,2)</f>
        <v>0.36</v>
      </c>
      <c r="M8" s="404">
        <f t="shared" ref="M8:M13" ca="1" si="6">ROUND($D8*$M$11*500/2000,2)</f>
        <v>0.08</v>
      </c>
      <c r="N8" s="404">
        <f t="shared" ref="N8:N13" ca="1" si="7">ROUND($D8*$N$11*500/2000,2)</f>
        <v>0.03</v>
      </c>
      <c r="O8" s="404">
        <f t="shared" ref="O8:O13" ca="1" si="8">ROUND($D8*$O$11*500/2000,2)</f>
        <v>0.03</v>
      </c>
      <c r="P8" s="405">
        <f t="shared" ref="P8:P13" ca="1" si="9">ROUND($D8*$P$11*500/2000,5)</f>
        <v>1E-4</v>
      </c>
      <c r="Q8" s="405">
        <f ca="1">ROUND($D8*$Q$11*500/2000,5)</f>
        <v>8.0000000000000007E-5</v>
      </c>
      <c r="R8" s="405">
        <f t="shared" ref="R8:R13" ca="1" si="10">ROUND($D8*$R$11*500/2000,2)</f>
        <v>0</v>
      </c>
      <c r="S8" s="405">
        <f t="shared" ref="S8:S13" ca="1" si="11">ROUND($D8*$S$11*500/2000,2)</f>
        <v>0</v>
      </c>
      <c r="T8" s="405">
        <f t="shared" ref="T8:T13" ca="1" si="12">ROUND($D8*$T$11*500/2000,5)</f>
        <v>2.0000000000000002E-5</v>
      </c>
      <c r="U8" s="406">
        <f t="shared" ref="U8:U13" ca="1" si="13">ROUND(SUM(P8:T8),2)</f>
        <v>0</v>
      </c>
    </row>
    <row r="9" spans="1:21" s="380" customFormat="1">
      <c r="A9" s="397"/>
      <c r="B9" s="398"/>
      <c r="C9" s="399">
        <f>ROUND(B9/1.341,2)</f>
        <v>0</v>
      </c>
      <c r="D9" s="400">
        <f t="shared" si="0"/>
        <v>0</v>
      </c>
      <c r="E9" s="401"/>
      <c r="F9" s="402"/>
      <c r="G9" s="403" t="s">
        <v>341</v>
      </c>
      <c r="H9" s="404">
        <f t="shared" ca="1" si="1"/>
        <v>8.3299999999999999E-2</v>
      </c>
      <c r="I9" s="404">
        <f t="shared" ca="1" si="2"/>
        <v>0.08</v>
      </c>
      <c r="J9" s="404">
        <f t="shared" ca="1" si="3"/>
        <v>0.08</v>
      </c>
      <c r="K9" s="404">
        <f t="shared" ca="1" si="4"/>
        <v>0.08</v>
      </c>
      <c r="L9" s="404">
        <f t="shared" ca="1" si="5"/>
        <v>1.18</v>
      </c>
      <c r="M9" s="404">
        <f t="shared" ca="1" si="6"/>
        <v>0.26</v>
      </c>
      <c r="N9" s="404">
        <f t="shared" ca="1" si="7"/>
        <v>0.1</v>
      </c>
      <c r="O9" s="404">
        <f t="shared" ca="1" si="8"/>
        <v>0.1</v>
      </c>
      <c r="P9" s="405">
        <f t="shared" ca="1" si="9"/>
        <v>3.2000000000000003E-4</v>
      </c>
      <c r="Q9" s="405">
        <f ca="1">ROUND($D9*$Q$11*500/2000,2)</f>
        <v>0</v>
      </c>
      <c r="R9" s="405">
        <f t="shared" ca="1" si="10"/>
        <v>0</v>
      </c>
      <c r="S9" s="405">
        <f t="shared" ca="1" si="11"/>
        <v>0</v>
      </c>
      <c r="T9" s="405">
        <f t="shared" ca="1" si="12"/>
        <v>8.0000000000000007E-5</v>
      </c>
      <c r="U9" s="406">
        <f t="shared" ca="1" si="13"/>
        <v>0</v>
      </c>
    </row>
    <row r="10" spans="1:21" s="380" customFormat="1">
      <c r="A10" s="397"/>
      <c r="B10" s="398"/>
      <c r="C10" s="399">
        <f>ROUND(B10/1.341,2)</f>
        <v>0</v>
      </c>
      <c r="D10" s="400">
        <f t="shared" si="0"/>
        <v>0</v>
      </c>
      <c r="E10" s="401"/>
      <c r="F10" s="402"/>
      <c r="G10" s="403" t="s">
        <v>341</v>
      </c>
      <c r="H10" s="404">
        <f t="shared" ca="1" si="1"/>
        <v>5.9159999999999997E-2</v>
      </c>
      <c r="I10" s="404">
        <f t="shared" ca="1" si="2"/>
        <v>0.06</v>
      </c>
      <c r="J10" s="404">
        <f t="shared" ca="1" si="3"/>
        <v>0.06</v>
      </c>
      <c r="K10" s="404">
        <f t="shared" ca="1" si="4"/>
        <v>0.06</v>
      </c>
      <c r="L10" s="404">
        <f t="shared" ca="1" si="5"/>
        <v>0.84</v>
      </c>
      <c r="M10" s="404">
        <f t="shared" ca="1" si="6"/>
        <v>0.18</v>
      </c>
      <c r="N10" s="404">
        <f t="shared" ca="1" si="7"/>
        <v>7.0000000000000007E-2</v>
      </c>
      <c r="O10" s="404">
        <f t="shared" ca="1" si="8"/>
        <v>7.0000000000000007E-2</v>
      </c>
      <c r="P10" s="405">
        <f t="shared" ca="1" si="9"/>
        <v>2.3000000000000001E-4</v>
      </c>
      <c r="Q10" s="405">
        <f ca="1">ROUND($D10*$Q$11*500/2000,2)</f>
        <v>0</v>
      </c>
      <c r="R10" s="405">
        <f t="shared" ca="1" si="10"/>
        <v>0</v>
      </c>
      <c r="S10" s="405">
        <f t="shared" ca="1" si="11"/>
        <v>0</v>
      </c>
      <c r="T10" s="405">
        <f t="shared" ca="1" si="12"/>
        <v>5.0000000000000002E-5</v>
      </c>
      <c r="U10" s="406">
        <f t="shared" ca="1" si="13"/>
        <v>0</v>
      </c>
    </row>
    <row r="11" spans="1:21" s="380" customFormat="1">
      <c r="A11" s="397"/>
      <c r="B11" s="407"/>
      <c r="C11" s="399">
        <f>ROUND(B11/1.341,2)</f>
        <v>0</v>
      </c>
      <c r="D11" s="400">
        <f t="shared" si="0"/>
        <v>0</v>
      </c>
      <c r="E11" s="408"/>
      <c r="F11" s="409"/>
      <c r="G11" s="403" t="s">
        <v>341</v>
      </c>
      <c r="H11" s="404">
        <f t="shared" ca="1" si="1"/>
        <v>0.19833000000000001</v>
      </c>
      <c r="I11" s="404">
        <f t="shared" ca="1" si="2"/>
        <v>0.2</v>
      </c>
      <c r="J11" s="404">
        <f t="shared" ca="1" si="3"/>
        <v>0.2</v>
      </c>
      <c r="K11" s="404">
        <f t="shared" ca="1" si="4"/>
        <v>0.19</v>
      </c>
      <c r="L11" s="404">
        <f t="shared" ca="1" si="5"/>
        <v>2.82</v>
      </c>
      <c r="M11" s="404">
        <f t="shared" ca="1" si="6"/>
        <v>0.61</v>
      </c>
      <c r="N11" s="404">
        <f t="shared" ca="1" si="7"/>
        <v>0.23</v>
      </c>
      <c r="O11" s="404">
        <f t="shared" ca="1" si="8"/>
        <v>0.23</v>
      </c>
      <c r="P11" s="405">
        <f t="shared" ca="1" si="9"/>
        <v>7.5000000000000002E-4</v>
      </c>
      <c r="Q11" s="405">
        <f ca="1">ROUND($D11*$Q$11*500/2000,2)</f>
        <v>0</v>
      </c>
      <c r="R11" s="405">
        <f t="shared" ca="1" si="10"/>
        <v>0</v>
      </c>
      <c r="S11" s="405">
        <f t="shared" ca="1" si="11"/>
        <v>0</v>
      </c>
      <c r="T11" s="405">
        <f t="shared" ca="1" si="12"/>
        <v>1.8000000000000001E-4</v>
      </c>
      <c r="U11" s="406">
        <f t="shared" ca="1" si="13"/>
        <v>0</v>
      </c>
    </row>
    <row r="12" spans="1:21" s="380" customFormat="1">
      <c r="A12" s="397"/>
      <c r="B12" s="398"/>
      <c r="C12" s="399">
        <f>ROUND(B12/1.341,2)</f>
        <v>0</v>
      </c>
      <c r="D12" s="400">
        <f t="shared" si="0"/>
        <v>0</v>
      </c>
      <c r="E12" s="401"/>
      <c r="F12" s="402"/>
      <c r="G12" s="403" t="s">
        <v>341</v>
      </c>
      <c r="H12" s="404">
        <f t="shared" ca="1" si="1"/>
        <v>5.13E-3</v>
      </c>
      <c r="I12" s="404">
        <f t="shared" ca="1" si="2"/>
        <v>0.01</v>
      </c>
      <c r="J12" s="404">
        <f t="shared" ca="1" si="3"/>
        <v>0.01</v>
      </c>
      <c r="K12" s="404">
        <f t="shared" ca="1" si="4"/>
        <v>0</v>
      </c>
      <c r="L12" s="404">
        <f t="shared" ca="1" si="5"/>
        <v>7.0000000000000007E-2</v>
      </c>
      <c r="M12" s="404">
        <f t="shared" ca="1" si="6"/>
        <v>0.02</v>
      </c>
      <c r="N12" s="404">
        <f t="shared" ca="1" si="7"/>
        <v>0.01</v>
      </c>
      <c r="O12" s="404">
        <f t="shared" ca="1" si="8"/>
        <v>0.01</v>
      </c>
      <c r="P12" s="405">
        <f t="shared" ca="1" si="9"/>
        <v>2.0000000000000002E-5</v>
      </c>
      <c r="Q12" s="405">
        <f ca="1">ROUND($D12*$Q$11*500/2000,2)</f>
        <v>0</v>
      </c>
      <c r="R12" s="405">
        <f t="shared" ca="1" si="10"/>
        <v>0</v>
      </c>
      <c r="S12" s="405">
        <f t="shared" ca="1" si="11"/>
        <v>0</v>
      </c>
      <c r="T12" s="405">
        <f t="shared" ca="1" si="12"/>
        <v>0</v>
      </c>
      <c r="U12" s="406">
        <f t="shared" ca="1" si="13"/>
        <v>0</v>
      </c>
    </row>
    <row r="13" spans="1:21" s="380" customFormat="1">
      <c r="A13" s="397"/>
      <c r="B13" s="398"/>
      <c r="C13" s="399">
        <f>ROUND(B13/1.341,2)</f>
        <v>0</v>
      </c>
      <c r="D13" s="400">
        <f t="shared" si="0"/>
        <v>0</v>
      </c>
      <c r="E13" s="401"/>
      <c r="F13" s="402"/>
      <c r="G13" s="403" t="s">
        <v>341</v>
      </c>
      <c r="H13" s="404">
        <f t="shared" ca="1" si="1"/>
        <v>2.563E-2</v>
      </c>
      <c r="I13" s="404">
        <f t="shared" ca="1" si="2"/>
        <v>0.03</v>
      </c>
      <c r="J13" s="404">
        <f t="shared" ca="1" si="3"/>
        <v>0.03</v>
      </c>
      <c r="K13" s="404">
        <f t="shared" ca="1" si="4"/>
        <v>0.02</v>
      </c>
      <c r="L13" s="404">
        <f t="shared" ca="1" si="5"/>
        <v>0.36</v>
      </c>
      <c r="M13" s="404">
        <f t="shared" ca="1" si="6"/>
        <v>0.08</v>
      </c>
      <c r="N13" s="404">
        <f t="shared" ca="1" si="7"/>
        <v>0.03</v>
      </c>
      <c r="O13" s="404">
        <f t="shared" ca="1" si="8"/>
        <v>0.03</v>
      </c>
      <c r="P13" s="405">
        <f t="shared" ca="1" si="9"/>
        <v>1E-4</v>
      </c>
      <c r="Q13" s="405">
        <f ca="1">ROUND($D13*$Q$11*500/2000,2)</f>
        <v>0</v>
      </c>
      <c r="R13" s="405">
        <f t="shared" ca="1" si="10"/>
        <v>0</v>
      </c>
      <c r="S13" s="405">
        <f t="shared" ca="1" si="11"/>
        <v>0</v>
      </c>
      <c r="T13" s="405">
        <f t="shared" ca="1" si="12"/>
        <v>2.0000000000000002E-5</v>
      </c>
      <c r="U13" s="406">
        <f t="shared" ca="1" si="13"/>
        <v>0</v>
      </c>
    </row>
    <row r="14" spans="1:21" s="380" customFormat="1">
      <c r="A14" s="410"/>
      <c r="B14" s="411"/>
      <c r="C14" s="411"/>
      <c r="D14" s="411"/>
      <c r="E14" s="411"/>
      <c r="F14" s="411"/>
      <c r="G14" s="412" t="s">
        <v>368</v>
      </c>
      <c r="H14" s="413">
        <f ca="1">SUM(H8:H13)</f>
        <v>0</v>
      </c>
      <c r="I14" s="413">
        <f ca="1">SUM(I8:I13)</f>
        <v>0</v>
      </c>
      <c r="J14" s="413">
        <f ca="1">SUM(J8:J13)</f>
        <v>0</v>
      </c>
      <c r="K14" s="413">
        <f ca="1">SUM(K8:K13)</f>
        <v>0</v>
      </c>
      <c r="L14" s="413">
        <f ca="1">SUM(L8:L13)</f>
        <v>0</v>
      </c>
      <c r="M14" s="413">
        <f ca="1">SUM(M8:M13)</f>
        <v>0</v>
      </c>
      <c r="N14" s="413">
        <f ca="1">SUM(N8:N13)</f>
        <v>0</v>
      </c>
      <c r="O14" s="413">
        <f ca="1">SUM(O8:O13)</f>
        <v>0</v>
      </c>
      <c r="U14" s="413">
        <f ca="1">SUM(U8:U13)</f>
        <v>0</v>
      </c>
    </row>
    <row r="15" spans="1:21" s="380" customFormat="1"/>
    <row r="16" spans="1:21" s="380" customFormat="1">
      <c r="A16" s="380" t="s">
        <v>275</v>
      </c>
    </row>
    <row r="17" spans="1:8" s="380" customFormat="1"/>
    <row r="18" spans="1:8" s="380" customFormat="1">
      <c r="A18" s="414" t="s">
        <v>342</v>
      </c>
      <c r="B18" s="414"/>
      <c r="C18" s="414"/>
      <c r="D18" s="415"/>
      <c r="E18" s="415"/>
      <c r="F18" s="415"/>
      <c r="G18" s="415"/>
      <c r="H18" s="415"/>
    </row>
    <row r="19" spans="1:8" s="380" customFormat="1">
      <c r="A19" s="415" t="s">
        <v>367</v>
      </c>
      <c r="B19" s="415"/>
      <c r="C19" s="415"/>
      <c r="D19" s="415"/>
      <c r="E19" s="415"/>
      <c r="F19" s="415"/>
      <c r="G19" s="415"/>
      <c r="H19" s="415"/>
    </row>
    <row r="20" spans="1:8" s="380" customFormat="1">
      <c r="A20" s="414" t="s">
        <v>343</v>
      </c>
      <c r="B20" s="414"/>
      <c r="C20" s="414"/>
      <c r="D20" s="414"/>
      <c r="E20" s="414"/>
      <c r="F20" s="414"/>
      <c r="G20" s="415"/>
      <c r="H20" s="415"/>
    </row>
    <row r="21" spans="1:8" s="380" customFormat="1">
      <c r="A21" s="414" t="s">
        <v>344</v>
      </c>
      <c r="B21" s="414"/>
      <c r="C21" s="414"/>
      <c r="D21" s="414"/>
      <c r="E21" s="414"/>
      <c r="F21" s="414"/>
      <c r="G21" s="415"/>
      <c r="H21" s="415"/>
    </row>
    <row r="22" spans="1:8" s="380" customFormat="1" ht="18">
      <c r="A22" s="415" t="s">
        <v>380</v>
      </c>
      <c r="B22" s="415"/>
      <c r="C22" s="415"/>
      <c r="D22" s="415"/>
      <c r="E22" s="415"/>
      <c r="F22" s="415"/>
      <c r="G22" s="415"/>
      <c r="H22" s="415"/>
    </row>
    <row r="23" spans="1:8" s="380" customFormat="1">
      <c r="A23" s="415" t="s">
        <v>345</v>
      </c>
      <c r="B23" s="415"/>
      <c r="C23" s="415"/>
      <c r="D23" s="415"/>
      <c r="E23" s="415"/>
      <c r="F23" s="415"/>
      <c r="G23" s="415"/>
      <c r="H23" s="415"/>
    </row>
    <row r="24" spans="1:8" s="380" customFormat="1">
      <c r="A24" s="415"/>
      <c r="B24" s="415"/>
      <c r="C24" s="415"/>
      <c r="D24" s="415"/>
      <c r="E24" s="415"/>
      <c r="F24" s="415"/>
      <c r="G24" s="415"/>
      <c r="H24" s="415"/>
    </row>
    <row r="25" spans="1:8" s="380" customFormat="1">
      <c r="A25" s="416" t="s">
        <v>346</v>
      </c>
      <c r="B25" s="415"/>
      <c r="C25" s="415"/>
      <c r="D25" s="415"/>
      <c r="E25" s="415"/>
      <c r="F25" s="415"/>
      <c r="G25" s="415"/>
      <c r="H25" s="415"/>
    </row>
    <row r="26" spans="1:8" s="380" customFormat="1">
      <c r="A26" s="415" t="s">
        <v>347</v>
      </c>
      <c r="B26" s="415"/>
      <c r="C26" s="415"/>
      <c r="D26" s="415"/>
      <c r="E26" s="415"/>
      <c r="F26" s="415"/>
    </row>
    <row r="27" spans="1:8" s="380" customFormat="1">
      <c r="A27" s="380" t="s">
        <v>348</v>
      </c>
    </row>
    <row r="28" spans="1:8" s="380" customFormat="1">
      <c r="A28" s="380" t="s">
        <v>349</v>
      </c>
    </row>
    <row r="29" spans="1:8" s="380" customFormat="1">
      <c r="A29" s="380" t="s">
        <v>350</v>
      </c>
    </row>
    <row r="31" spans="1:8">
      <c r="A31" s="380" t="s">
        <v>352</v>
      </c>
    </row>
    <row r="33" spans="1:23" s="3" customFormat="1">
      <c r="A33" s="43"/>
      <c r="E33" s="355" t="s">
        <v>84</v>
      </c>
      <c r="F33" s="356"/>
      <c r="G33" s="356"/>
      <c r="H33" s="356"/>
      <c r="I33" s="356"/>
      <c r="J33" s="356"/>
      <c r="K33" s="357"/>
      <c r="L33" s="355" t="s">
        <v>58</v>
      </c>
      <c r="M33" s="358"/>
      <c r="N33" s="358"/>
      <c r="O33" s="358"/>
      <c r="P33" s="359"/>
      <c r="Q33" s="355" t="s">
        <v>59</v>
      </c>
      <c r="R33" s="358"/>
      <c r="S33" s="358"/>
      <c r="T33" s="358"/>
      <c r="U33" s="359"/>
      <c r="V33" s="360" t="s">
        <v>85</v>
      </c>
    </row>
    <row r="34" spans="1:23" s="3" customFormat="1" ht="51">
      <c r="A34" s="360" t="s">
        <v>93</v>
      </c>
      <c r="B34" s="290" t="s">
        <v>35</v>
      </c>
      <c r="C34" s="290" t="s">
        <v>35</v>
      </c>
      <c r="D34" s="361" t="s">
        <v>86</v>
      </c>
      <c r="E34" s="362" t="s">
        <v>87</v>
      </c>
      <c r="F34" s="362" t="s">
        <v>115</v>
      </c>
      <c r="G34" s="362" t="s">
        <v>116</v>
      </c>
      <c r="H34" s="362" t="s">
        <v>118</v>
      </c>
      <c r="I34" s="362" t="s">
        <v>88</v>
      </c>
      <c r="J34" s="362" t="s">
        <v>332</v>
      </c>
      <c r="K34" s="362" t="s">
        <v>34</v>
      </c>
      <c r="L34" s="362" t="s">
        <v>50</v>
      </c>
      <c r="M34" s="290" t="s">
        <v>52</v>
      </c>
      <c r="N34" s="353" t="s">
        <v>374</v>
      </c>
      <c r="O34" s="290" t="s">
        <v>334</v>
      </c>
      <c r="P34" s="290" t="s">
        <v>57</v>
      </c>
      <c r="Q34" s="362" t="s">
        <v>375</v>
      </c>
      <c r="R34" s="290" t="s">
        <v>376</v>
      </c>
      <c r="S34" s="362" t="s">
        <v>43</v>
      </c>
      <c r="T34" s="290" t="s">
        <v>46</v>
      </c>
      <c r="U34" s="290" t="s">
        <v>51</v>
      </c>
      <c r="V34" s="363"/>
    </row>
    <row r="35" spans="1:23" s="3" customFormat="1">
      <c r="A35" s="363"/>
      <c r="B35" s="364" t="s">
        <v>89</v>
      </c>
      <c r="C35" s="364" t="s">
        <v>90</v>
      </c>
      <c r="D35" s="365"/>
      <c r="E35" s="366">
        <v>2</v>
      </c>
      <c r="F35" s="366">
        <v>2</v>
      </c>
      <c r="G35" s="367">
        <f>142*C44</f>
        <v>0</v>
      </c>
      <c r="H35" s="362">
        <v>20</v>
      </c>
      <c r="I35" s="362">
        <v>5</v>
      </c>
      <c r="J35" s="458">
        <v>0.252</v>
      </c>
      <c r="K35" s="366">
        <v>0.2</v>
      </c>
      <c r="L35" s="417">
        <v>2.14E-4</v>
      </c>
      <c r="M35" s="417">
        <v>3.3000000000000002E-2</v>
      </c>
      <c r="N35" s="417">
        <v>1.1299999999999999E-3</v>
      </c>
      <c r="O35" s="417">
        <v>1.0900000000000001E-4</v>
      </c>
      <c r="P35" s="417">
        <v>6.1999999999999998E-3</v>
      </c>
      <c r="Q35" s="417">
        <v>5.2500000000000003E-3</v>
      </c>
      <c r="R35" s="417">
        <v>1.32E-3</v>
      </c>
      <c r="S35" s="417">
        <v>1.5100000000000001E-3</v>
      </c>
      <c r="T35" s="417">
        <v>3.0000000000000001E-3</v>
      </c>
      <c r="U35" s="417">
        <v>8.4500000000000006E-2</v>
      </c>
      <c r="V35" s="363"/>
    </row>
    <row r="36" spans="1:23" s="3" customFormat="1">
      <c r="A36" s="103"/>
      <c r="B36" s="103"/>
      <c r="C36" s="104">
        <f>ROUND(B36/1000,5)</f>
        <v>0</v>
      </c>
      <c r="D36" s="50" t="s">
        <v>92</v>
      </c>
      <c r="E36" s="105" t="e">
        <f>ROUND(#REF!*8760/2000,2)</f>
        <v>#REF!</v>
      </c>
      <c r="F36" s="106" t="e">
        <f>ROUND(#REF!*8760/2000,2)</f>
        <v>#REF!</v>
      </c>
      <c r="G36" s="106" t="e">
        <f>ROUND(#REF!*8760/2000,2)</f>
        <v>#REF!</v>
      </c>
      <c r="H36" s="106" t="e">
        <f>ROUND(#REF!*8760/2000,2)</f>
        <v>#REF!</v>
      </c>
      <c r="I36" s="106" t="e">
        <f>ROUND(#REF!*8760/2000,2)</f>
        <v>#REF!</v>
      </c>
      <c r="J36" s="106" t="e">
        <f>ROUND(#REF!*8760/2000,2)</f>
        <v>#REF!</v>
      </c>
      <c r="K36" s="106" t="e">
        <f>ROUND(#REF!*8760/2000,2)</f>
        <v>#REF!</v>
      </c>
      <c r="L36" s="106" t="e">
        <f>ROUND(#REF!*8760/2000,2)</f>
        <v>#REF!</v>
      </c>
      <c r="M36" s="106" t="e">
        <f>ROUND(#REF!*8760/2000,2)</f>
        <v>#REF!</v>
      </c>
      <c r="N36" s="106" t="e">
        <f>ROUND(#REF!*8760/2000,2)</f>
        <v>#REF!</v>
      </c>
      <c r="O36" s="106" t="e">
        <f>ROUND(#REF!*8760/2000,2)</f>
        <v>#REF!</v>
      </c>
      <c r="P36" s="106" t="e">
        <f>ROUND(#REF!*8760/2000,2)</f>
        <v>#REF!</v>
      </c>
      <c r="Q36" s="106" t="e">
        <f>ROUND(#REF!*8760/2000,2)</f>
        <v>#REF!</v>
      </c>
      <c r="R36" s="106" t="e">
        <f>ROUND(#REF!*8760/2000,2)</f>
        <v>#REF!</v>
      </c>
      <c r="S36" s="106" t="e">
        <f>ROUND(#REF!*8760/2000,2)</f>
        <v>#REF!</v>
      </c>
      <c r="T36" s="106" t="e">
        <f>ROUND(#REF!*8760/2000,2)</f>
        <v>#REF!</v>
      </c>
      <c r="U36" s="106" t="e">
        <f>ROUND(#REF!*8760/2000,2)</f>
        <v>#REF!</v>
      </c>
      <c r="V36" s="105" t="e">
        <f t="shared" ref="V36:V39" si="14">SUM(L36:U36)</f>
        <v>#REF!</v>
      </c>
    </row>
    <row r="37" spans="1:23" s="3" customFormat="1">
      <c r="A37" s="103"/>
      <c r="B37" s="103"/>
      <c r="C37" s="104">
        <f>ROUND(B37/1000,5)</f>
        <v>0</v>
      </c>
      <c r="D37" s="50" t="s">
        <v>92</v>
      </c>
      <c r="E37" s="105" t="e">
        <f>ROUND(#REF!*8760/2000,2)</f>
        <v>#REF!</v>
      </c>
      <c r="F37" s="106" t="e">
        <f>ROUND(#REF!*8760/2000,2)</f>
        <v>#REF!</v>
      </c>
      <c r="G37" s="106" t="e">
        <f>ROUND(#REF!*8760/2000,2)</f>
        <v>#REF!</v>
      </c>
      <c r="H37" s="106" t="e">
        <f>ROUND(#REF!*8760/2000,2)</f>
        <v>#REF!</v>
      </c>
      <c r="I37" s="106" t="e">
        <f>ROUND(#REF!*8760/2000,2)</f>
        <v>#REF!</v>
      </c>
      <c r="J37" s="106" t="e">
        <f>ROUND(#REF!*8760/2000,2)</f>
        <v>#REF!</v>
      </c>
      <c r="K37" s="106" t="e">
        <f>ROUND(#REF!*8760/2000,2)</f>
        <v>#REF!</v>
      </c>
      <c r="L37" s="106" t="e">
        <f>ROUND(#REF!*8760/2000,2)</f>
        <v>#REF!</v>
      </c>
      <c r="M37" s="106" t="e">
        <f>ROUND(#REF!*8760/2000,2)</f>
        <v>#REF!</v>
      </c>
      <c r="N37" s="106" t="e">
        <f>ROUND(#REF!*8760/2000,2)</f>
        <v>#REF!</v>
      </c>
      <c r="O37" s="106" t="e">
        <f>ROUND(#REF!*8760/2000,2)</f>
        <v>#REF!</v>
      </c>
      <c r="P37" s="106" t="e">
        <f>ROUND(#REF!*8760/2000,2)</f>
        <v>#REF!</v>
      </c>
      <c r="Q37" s="106" t="e">
        <f>ROUND(#REF!*8760/2000,2)</f>
        <v>#REF!</v>
      </c>
      <c r="R37" s="106" t="e">
        <f>ROUND(#REF!*8760/2000,2)</f>
        <v>#REF!</v>
      </c>
      <c r="S37" s="106" t="e">
        <f>ROUND(#REF!*8760/2000,2)</f>
        <v>#REF!</v>
      </c>
      <c r="T37" s="106" t="e">
        <f>ROUND(#REF!*8760/2000,2)</f>
        <v>#REF!</v>
      </c>
      <c r="U37" s="106" t="e">
        <f>ROUND(#REF!*8760/2000,2)</f>
        <v>#REF!</v>
      </c>
      <c r="V37" s="105" t="e">
        <f t="shared" si="14"/>
        <v>#REF!</v>
      </c>
    </row>
    <row r="38" spans="1:23" s="3" customFormat="1">
      <c r="A38" s="103"/>
      <c r="B38" s="103"/>
      <c r="C38" s="104">
        <f>ROUND(B38/1000,5)</f>
        <v>0</v>
      </c>
      <c r="D38" s="50" t="s">
        <v>92</v>
      </c>
      <c r="E38" s="105" t="e">
        <f>ROUND(#REF!*8760/2000,2)</f>
        <v>#REF!</v>
      </c>
      <c r="F38" s="106" t="e">
        <f>ROUND(#REF!*8760/2000,2)</f>
        <v>#REF!</v>
      </c>
      <c r="G38" s="106" t="e">
        <f>ROUND(#REF!*8760/2000,2)</f>
        <v>#REF!</v>
      </c>
      <c r="H38" s="106" t="e">
        <f>ROUND(#REF!*8760/2000,2)</f>
        <v>#REF!</v>
      </c>
      <c r="I38" s="106" t="e">
        <f>ROUND(#REF!*8760/2000,2)</f>
        <v>#REF!</v>
      </c>
      <c r="J38" s="106" t="e">
        <f>ROUND(#REF!*8760/2000,2)</f>
        <v>#REF!</v>
      </c>
      <c r="K38" s="106" t="e">
        <f>ROUND(#REF!*8760/2000,2)</f>
        <v>#REF!</v>
      </c>
      <c r="L38" s="106" t="e">
        <f>ROUND(#REF!*8760/2000,2)</f>
        <v>#REF!</v>
      </c>
      <c r="M38" s="106" t="e">
        <f>ROUND(#REF!*8760/2000,2)</f>
        <v>#REF!</v>
      </c>
      <c r="N38" s="106" t="e">
        <f>ROUND(#REF!*8760/2000,2)</f>
        <v>#REF!</v>
      </c>
      <c r="O38" s="106" t="e">
        <f>ROUND(#REF!*8760/2000,2)</f>
        <v>#REF!</v>
      </c>
      <c r="P38" s="106" t="e">
        <f>ROUND(#REF!*8760/2000,2)</f>
        <v>#REF!</v>
      </c>
      <c r="Q38" s="106" t="e">
        <f>ROUND(#REF!*8760/2000,2)</f>
        <v>#REF!</v>
      </c>
      <c r="R38" s="106" t="e">
        <f>ROUND(#REF!*8760/2000,2)</f>
        <v>#REF!</v>
      </c>
      <c r="S38" s="106" t="e">
        <f>ROUND(#REF!*8760/2000,2)</f>
        <v>#REF!</v>
      </c>
      <c r="T38" s="106" t="e">
        <f>ROUND(#REF!*8760/2000,2)</f>
        <v>#REF!</v>
      </c>
      <c r="U38" s="106" t="e">
        <f>ROUND(#REF!*8760/2000,2)</f>
        <v>#REF!</v>
      </c>
      <c r="V38" s="105" t="e">
        <f t="shared" si="14"/>
        <v>#REF!</v>
      </c>
    </row>
    <row r="39" spans="1:23" s="3" customFormat="1">
      <c r="A39" s="457"/>
      <c r="B39" s="457"/>
      <c r="C39" s="104">
        <f>ROUND(B39/1000,5)</f>
        <v>0</v>
      </c>
      <c r="D39" s="347" t="s">
        <v>92</v>
      </c>
      <c r="E39" s="105" t="e">
        <f>ROUND(#REF!*8760/2000,2)</f>
        <v>#REF!</v>
      </c>
      <c r="F39" s="106" t="e">
        <f>ROUND(#REF!*8760/2000,2)</f>
        <v>#REF!</v>
      </c>
      <c r="G39" s="106" t="e">
        <f>ROUND(#REF!*8760/2000,2)</f>
        <v>#REF!</v>
      </c>
      <c r="H39" s="106" t="e">
        <f>ROUND(#REF!*8760/2000,2)</f>
        <v>#REF!</v>
      </c>
      <c r="I39" s="106" t="e">
        <f>ROUND(#REF!*8760/2000,2)</f>
        <v>#REF!</v>
      </c>
      <c r="J39" s="106" t="e">
        <f>ROUND(#REF!*8760/2000,2)</f>
        <v>#REF!</v>
      </c>
      <c r="K39" s="106" t="e">
        <f>ROUND(#REF!*8760/2000,2)</f>
        <v>#REF!</v>
      </c>
      <c r="L39" s="106" t="e">
        <f>ROUND(#REF!*8760/2000,2)</f>
        <v>#REF!</v>
      </c>
      <c r="M39" s="106" t="e">
        <f>ROUND(#REF!*8760/2000,2)</f>
        <v>#REF!</v>
      </c>
      <c r="N39" s="106" t="e">
        <f>ROUND(#REF!*8760/2000,2)</f>
        <v>#REF!</v>
      </c>
      <c r="O39" s="106" t="e">
        <f>ROUND(#REF!*8760/2000,2)</f>
        <v>#REF!</v>
      </c>
      <c r="P39" s="106" t="e">
        <f>ROUND(#REF!*8760/2000,2)</f>
        <v>#REF!</v>
      </c>
      <c r="Q39" s="106" t="e">
        <f>ROUND(#REF!*8760/2000,2)</f>
        <v>#REF!</v>
      </c>
      <c r="R39" s="106" t="e">
        <f>ROUND(#REF!*8760/2000,2)</f>
        <v>#REF!</v>
      </c>
      <c r="S39" s="106" t="e">
        <f>ROUND(#REF!*8760/2000,2)</f>
        <v>#REF!</v>
      </c>
      <c r="T39" s="106" t="e">
        <f>ROUND(#REF!*8760/2000,2)</f>
        <v>#REF!</v>
      </c>
      <c r="U39" s="106" t="e">
        <f>ROUND(#REF!*8760/2000,2)</f>
        <v>#REF!</v>
      </c>
      <c r="V39" s="105" t="e">
        <f t="shared" si="14"/>
        <v>#REF!</v>
      </c>
    </row>
    <row r="40" spans="1:23" s="3" customFormat="1">
      <c r="A40" s="348"/>
      <c r="B40" s="349"/>
      <c r="C40" s="350"/>
      <c r="D40" s="351" t="s">
        <v>368</v>
      </c>
      <c r="E40" s="352" t="e">
        <f>SUM(E36:E39)</f>
        <v>#REF!</v>
      </c>
      <c r="F40" s="352" t="e">
        <f>SUM(F36:F39)</f>
        <v>#REF!</v>
      </c>
      <c r="G40" s="352" t="e">
        <f>SUM(G36:G39)</f>
        <v>#REF!</v>
      </c>
      <c r="H40" s="352" t="e">
        <f>SUM(H36:H39)</f>
        <v>#REF!</v>
      </c>
      <c r="I40" s="352" t="e">
        <f>SUM(I36:I39)</f>
        <v>#REF!</v>
      </c>
      <c r="J40" s="352" t="e">
        <f>SUM(J36:J39)</f>
        <v>#REF!</v>
      </c>
      <c r="K40" s="352" t="e">
        <f>SUM(K36:K39)</f>
        <v>#REF!</v>
      </c>
      <c r="L40" s="57"/>
      <c r="M40" s="145"/>
      <c r="N40" s="146"/>
      <c r="O40" s="146"/>
      <c r="P40" s="57"/>
      <c r="Q40" s="57"/>
      <c r="R40" s="57"/>
      <c r="S40" s="57"/>
      <c r="T40" s="57"/>
      <c r="U40" s="57"/>
      <c r="V40" s="352" t="e">
        <f>SUM(V36:V39)</f>
        <v>#REF!</v>
      </c>
      <c r="W40" s="57"/>
    </row>
    <row r="41" spans="1:23" s="3" customFormat="1">
      <c r="A41" s="56"/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6"/>
      <c r="N41" s="57"/>
      <c r="O41" s="57"/>
      <c r="P41" s="57"/>
      <c r="Q41" s="57"/>
      <c r="R41" s="57"/>
      <c r="S41" s="57"/>
      <c r="T41" s="57"/>
      <c r="U41" s="57"/>
      <c r="V41" s="57"/>
      <c r="W41" s="57"/>
    </row>
    <row r="42" spans="1:23" s="3" customFormat="1">
      <c r="A42" s="56" t="s">
        <v>113</v>
      </c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6"/>
      <c r="N42" s="57"/>
      <c r="O42" s="57"/>
      <c r="P42" s="57"/>
      <c r="Q42" s="57"/>
      <c r="R42" s="57"/>
      <c r="S42" s="57"/>
      <c r="T42" s="57"/>
      <c r="U42" s="57"/>
      <c r="V42" s="57"/>
      <c r="W42" s="57"/>
    </row>
    <row r="43" spans="1:23" s="3" customFormat="1">
      <c r="A43" s="56"/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6"/>
      <c r="N43" s="57"/>
      <c r="O43" s="57"/>
      <c r="P43" s="57"/>
      <c r="Q43" s="57"/>
      <c r="R43" s="57"/>
      <c r="S43" s="57"/>
      <c r="T43" s="57"/>
      <c r="U43" s="57"/>
      <c r="V43" s="57"/>
      <c r="W43" s="57"/>
    </row>
    <row r="44" spans="1:23" s="3" customFormat="1">
      <c r="A44" s="56" t="s">
        <v>377</v>
      </c>
      <c r="B44" s="56"/>
      <c r="C44" s="354"/>
      <c r="D44" s="57" t="s">
        <v>267</v>
      </c>
      <c r="E44" s="57"/>
      <c r="F44" s="57"/>
      <c r="G44" s="57"/>
      <c r="H44" s="57"/>
      <c r="I44" s="57"/>
      <c r="J44" s="57"/>
      <c r="K44" s="57"/>
      <c r="L44" s="57"/>
      <c r="M44" s="56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spans="1:23" s="3" customFormat="1">
      <c r="A45" s="145" t="s">
        <v>372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6"/>
      <c r="L45" s="146"/>
      <c r="M45" s="56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 spans="1:23" s="3" customFormat="1" ht="18">
      <c r="A46" s="459" t="s">
        <v>384</v>
      </c>
      <c r="B46" s="56"/>
      <c r="C46" s="56"/>
      <c r="D46" s="56"/>
      <c r="E46" s="56"/>
      <c r="F46" s="56"/>
      <c r="G46" s="56"/>
      <c r="H46" s="56"/>
      <c r="I46" s="56"/>
      <c r="J46" s="56"/>
      <c r="K46" s="57"/>
      <c r="L46" s="57"/>
      <c r="M46" s="56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spans="1:23" s="3" customFormat="1">
      <c r="A47" s="145" t="s">
        <v>4</v>
      </c>
      <c r="B47" s="145"/>
      <c r="C47" s="146"/>
      <c r="D47" s="146"/>
      <c r="E47" s="146"/>
      <c r="F47" s="146"/>
      <c r="G47" s="146"/>
      <c r="H47" s="57"/>
      <c r="I47" s="57"/>
      <c r="J47" s="57"/>
      <c r="K47" s="57"/>
      <c r="L47" s="57"/>
      <c r="M47" s="145"/>
      <c r="N47" s="146"/>
      <c r="O47" s="146"/>
      <c r="P47" s="146"/>
      <c r="Q47" s="146"/>
      <c r="R47" s="146"/>
      <c r="S47" s="57"/>
      <c r="T47" s="57"/>
      <c r="U47" s="57"/>
      <c r="V47" s="57"/>
      <c r="W47" s="57"/>
    </row>
    <row r="48" spans="1:23" s="3" customFormat="1">
      <c r="A48" s="145" t="s">
        <v>373</v>
      </c>
      <c r="B48" s="145"/>
      <c r="C48" s="146"/>
      <c r="D48" s="146"/>
      <c r="E48" s="146"/>
      <c r="F48" s="146"/>
      <c r="G48" s="146"/>
      <c r="H48" s="57"/>
      <c r="I48" s="57"/>
      <c r="J48" s="57"/>
      <c r="K48" s="57"/>
      <c r="L48" s="57"/>
      <c r="M48" s="145"/>
      <c r="N48" s="146"/>
      <c r="O48" s="146"/>
      <c r="P48" s="146"/>
      <c r="Q48" s="146"/>
      <c r="R48" s="146"/>
      <c r="S48" s="57"/>
      <c r="T48" s="57"/>
      <c r="U48" s="57"/>
      <c r="V48" s="57"/>
      <c r="W48" s="57"/>
    </row>
    <row r="49" spans="1:23" s="3" customFormat="1">
      <c r="A49" s="56"/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6"/>
      <c r="N49" s="57"/>
      <c r="O49" s="57"/>
      <c r="P49" s="57"/>
      <c r="Q49" s="57"/>
      <c r="R49" s="57"/>
      <c r="S49" s="57"/>
      <c r="T49" s="57"/>
      <c r="U49" s="57"/>
      <c r="V49" s="57"/>
      <c r="W49" s="57"/>
    </row>
    <row r="50" spans="1:23" s="3" customFormat="1">
      <c r="A50" s="213" t="s">
        <v>243</v>
      </c>
    </row>
    <row r="51" spans="1:23" s="3" customFormat="1">
      <c r="A51" s="209" t="s">
        <v>244</v>
      </c>
      <c r="B51" s="215"/>
    </row>
    <row r="52" spans="1:23" s="3" customFormat="1">
      <c r="A52" s="56"/>
      <c r="B52" s="56"/>
      <c r="C52" s="56"/>
      <c r="D52" s="56"/>
      <c r="E52" s="56"/>
      <c r="F52" s="56"/>
      <c r="G52" s="56"/>
      <c r="H52" s="56"/>
      <c r="I52" s="56"/>
      <c r="J52" s="20"/>
      <c r="K52" s="57"/>
      <c r="L52" s="57"/>
      <c r="M52" s="56"/>
      <c r="N52" s="56"/>
      <c r="O52" s="56"/>
      <c r="P52" s="56"/>
      <c r="Q52" s="56"/>
      <c r="R52" s="56"/>
      <c r="S52" s="56"/>
      <c r="T52" s="56"/>
      <c r="U52" s="20"/>
      <c r="V52" s="57"/>
      <c r="W52" s="57"/>
    </row>
    <row r="53" spans="1:23" s="3" customFormat="1">
      <c r="A53" s="54" t="s">
        <v>114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</row>
    <row r="54" spans="1:23" s="3" customFormat="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</row>
    <row r="55" spans="1:23" s="3" customFormat="1">
      <c r="A55" s="90" t="s">
        <v>153</v>
      </c>
      <c r="B55" s="90"/>
      <c r="C55" s="90"/>
      <c r="D55" s="90"/>
      <c r="E55" s="90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</row>
    <row r="56" spans="1:23" ht="17" thickBot="1">
      <c r="A56" s="420"/>
      <c r="B56" s="420"/>
      <c r="C56" s="420"/>
      <c r="D56" s="420"/>
      <c r="E56" s="420"/>
      <c r="F56" s="420"/>
      <c r="G56" s="420"/>
      <c r="H56" s="420"/>
      <c r="I56" s="420"/>
      <c r="J56" s="420"/>
      <c r="K56" s="420"/>
    </row>
    <row r="57" spans="1:23" ht="17" thickBot="1">
      <c r="A57" s="420"/>
      <c r="B57" s="420"/>
      <c r="C57" s="420"/>
      <c r="D57" s="421" t="s">
        <v>353</v>
      </c>
      <c r="E57" s="422"/>
      <c r="F57" s="422"/>
      <c r="G57" s="422"/>
      <c r="H57" s="422"/>
      <c r="I57" s="422"/>
      <c r="J57" s="423"/>
      <c r="K57" s="420"/>
    </row>
    <row r="58" spans="1:23" ht="18">
      <c r="A58" s="424" t="s">
        <v>178</v>
      </c>
      <c r="B58" s="425" t="s">
        <v>178</v>
      </c>
      <c r="C58" s="426" t="s">
        <v>178</v>
      </c>
      <c r="D58" s="427" t="s">
        <v>177</v>
      </c>
      <c r="E58" s="427" t="s">
        <v>381</v>
      </c>
      <c r="F58" s="427" t="s">
        <v>382</v>
      </c>
      <c r="G58" s="427" t="s">
        <v>118</v>
      </c>
      <c r="H58" s="428" t="s">
        <v>354</v>
      </c>
      <c r="I58" s="427" t="s">
        <v>34</v>
      </c>
      <c r="J58" s="427" t="s">
        <v>355</v>
      </c>
      <c r="K58" s="420"/>
    </row>
    <row r="59" spans="1:23" ht="18">
      <c r="A59" s="429" t="s">
        <v>383</v>
      </c>
      <c r="B59" s="420"/>
      <c r="C59" s="430"/>
      <c r="D59" s="431">
        <v>3.3</v>
      </c>
      <c r="E59" s="431">
        <v>2</v>
      </c>
      <c r="F59" s="431" t="e">
        <f>142*#REF!</f>
        <v>#REF!</v>
      </c>
      <c r="G59" s="432">
        <v>20</v>
      </c>
      <c r="H59" s="428">
        <v>5</v>
      </c>
      <c r="I59" s="431">
        <v>0.2</v>
      </c>
      <c r="J59" s="433">
        <v>0.252</v>
      </c>
      <c r="K59" s="420"/>
    </row>
    <row r="60" spans="1:23">
      <c r="A60" s="434"/>
      <c r="B60" s="435"/>
      <c r="C60" s="436"/>
      <c r="D60" s="437"/>
      <c r="E60" s="437"/>
      <c r="F60" s="437"/>
      <c r="G60" s="418"/>
      <c r="H60" s="419"/>
      <c r="I60" s="437"/>
      <c r="J60" s="437"/>
      <c r="K60" s="420"/>
    </row>
    <row r="61" spans="1:23">
      <c r="A61" s="424"/>
      <c r="B61" s="425"/>
      <c r="C61" s="426"/>
      <c r="D61" s="438"/>
      <c r="E61" s="438"/>
      <c r="F61" s="438"/>
      <c r="G61" s="439"/>
      <c r="H61" s="440"/>
      <c r="I61" s="441"/>
      <c r="J61" s="438"/>
      <c r="K61" s="420"/>
    </row>
    <row r="62" spans="1:23">
      <c r="A62" s="442" t="s">
        <v>356</v>
      </c>
      <c r="B62" s="443"/>
      <c r="C62" s="430"/>
      <c r="D62" s="444" t="e">
        <f>ROUND(#REF!*D59/2000,2)</f>
        <v>#REF!</v>
      </c>
      <c r="E62" s="444" t="e">
        <f>ROUND(#REF!*E59/2000,2)</f>
        <v>#REF!</v>
      </c>
      <c r="F62" s="444" t="e">
        <f>ROUND(#REF!*F59/2000,2)</f>
        <v>#REF!</v>
      </c>
      <c r="G62" s="444" t="e">
        <f>ROUND(#REF!*G59/2000,2)</f>
        <v>#REF!</v>
      </c>
      <c r="H62" s="444" t="e">
        <f>ROUND(#REF!*H59/2000,2)</f>
        <v>#REF!</v>
      </c>
      <c r="I62" s="444" t="e">
        <f>ROUND(#REF!*I59/2000,2)</f>
        <v>#REF!</v>
      </c>
      <c r="J62" s="444" t="e">
        <f>ROUND(#REF!*J59/2000,2)</f>
        <v>#REF!</v>
      </c>
      <c r="K62" s="420"/>
    </row>
    <row r="63" spans="1:23">
      <c r="A63" s="434"/>
      <c r="B63" s="435"/>
      <c r="C63" s="436"/>
      <c r="D63" s="445"/>
      <c r="E63" s="445"/>
      <c r="F63" s="445"/>
      <c r="G63" s="434"/>
      <c r="H63" s="446"/>
      <c r="I63" s="436"/>
      <c r="J63" s="445"/>
      <c r="K63" s="420"/>
    </row>
    <row r="64" spans="1:23" ht="17" thickBot="1">
      <c r="A64" s="420"/>
      <c r="B64" s="420"/>
      <c r="C64" s="420"/>
      <c r="D64" s="420"/>
      <c r="E64" s="420"/>
      <c r="F64" s="420"/>
      <c r="G64" s="420"/>
      <c r="H64" s="420"/>
      <c r="I64" s="420"/>
      <c r="J64" s="420"/>
      <c r="K64" s="420"/>
    </row>
    <row r="65" spans="1:11" ht="17" thickBot="1">
      <c r="A65" s="420"/>
      <c r="B65" s="420"/>
      <c r="C65" s="420"/>
      <c r="D65" s="421" t="s">
        <v>58</v>
      </c>
      <c r="E65" s="447"/>
      <c r="F65" s="447"/>
      <c r="G65" s="447"/>
      <c r="H65" s="448"/>
      <c r="I65" s="420"/>
      <c r="J65" s="420"/>
      <c r="K65" s="420"/>
    </row>
    <row r="66" spans="1:11" ht="34">
      <c r="A66" s="424" t="s">
        <v>178</v>
      </c>
      <c r="B66" s="425" t="s">
        <v>178</v>
      </c>
      <c r="C66" s="426" t="s">
        <v>178</v>
      </c>
      <c r="D66" s="427" t="s">
        <v>50</v>
      </c>
      <c r="E66" s="449" t="s">
        <v>52</v>
      </c>
      <c r="F66" s="449" t="s">
        <v>357</v>
      </c>
      <c r="G66" s="449" t="s">
        <v>358</v>
      </c>
      <c r="H66" s="449" t="s">
        <v>57</v>
      </c>
      <c r="I66" s="420"/>
      <c r="J66" s="420"/>
      <c r="K66" s="420"/>
    </row>
    <row r="67" spans="1:11" ht="18">
      <c r="A67" s="442" t="s">
        <v>383</v>
      </c>
      <c r="B67" s="443"/>
      <c r="C67" s="430"/>
      <c r="D67" s="450">
        <v>2.14E-4</v>
      </c>
      <c r="E67" s="450">
        <v>3.3000000000000002E-2</v>
      </c>
      <c r="F67" s="450">
        <v>1.1299999999999999E-3</v>
      </c>
      <c r="G67" s="450">
        <v>1.0900000000000001E-4</v>
      </c>
      <c r="H67" s="450">
        <v>6.1999999999999998E-3</v>
      </c>
      <c r="I67" s="420"/>
      <c r="J67" s="420"/>
      <c r="K67" s="420"/>
    </row>
    <row r="68" spans="1:11">
      <c r="A68" s="434"/>
      <c r="B68" s="435"/>
      <c r="C68" s="436"/>
      <c r="D68" s="451"/>
      <c r="E68" s="451"/>
      <c r="F68" s="451"/>
      <c r="G68" s="437"/>
      <c r="H68" s="437"/>
      <c r="I68" s="420"/>
      <c r="J68" s="420"/>
      <c r="K68" s="420"/>
    </row>
    <row r="69" spans="1:11">
      <c r="A69" s="424"/>
      <c r="B69" s="425"/>
      <c r="C69" s="426"/>
      <c r="D69" s="438"/>
      <c r="E69" s="438"/>
      <c r="F69" s="438"/>
      <c r="G69" s="438"/>
      <c r="H69" s="438"/>
      <c r="I69" s="420"/>
      <c r="J69" s="420"/>
      <c r="K69" s="420"/>
    </row>
    <row r="70" spans="1:11">
      <c r="A70" s="442" t="s">
        <v>356</v>
      </c>
      <c r="B70" s="443"/>
      <c r="C70" s="430"/>
      <c r="D70" s="452" t="e">
        <f>ROUND(#REF!*D67/2000,4)</f>
        <v>#REF!</v>
      </c>
      <c r="E70" s="452" t="e">
        <f>ROUND(#REF!*E67/2000,4)</f>
        <v>#REF!</v>
      </c>
      <c r="F70" s="452" t="e">
        <f>ROUND(#REF!*F67/2000,4)</f>
        <v>#REF!</v>
      </c>
      <c r="G70" s="452" t="e">
        <f>ROUND(#REF!*G67/2000,4)</f>
        <v>#REF!</v>
      </c>
      <c r="H70" s="452" t="e">
        <f>ROUND(#REF!*H67/2000,4)</f>
        <v>#REF!</v>
      </c>
      <c r="I70" s="420"/>
      <c r="J70" s="420"/>
      <c r="K70" s="420"/>
    </row>
    <row r="71" spans="1:11">
      <c r="A71" s="434"/>
      <c r="B71" s="435"/>
      <c r="C71" s="436"/>
      <c r="D71" s="445"/>
      <c r="E71" s="445"/>
      <c r="F71" s="445"/>
      <c r="G71" s="445"/>
      <c r="H71" s="445"/>
      <c r="I71" s="420"/>
      <c r="J71" s="420"/>
      <c r="K71" s="420"/>
    </row>
    <row r="72" spans="1:11" ht="17" thickBot="1">
      <c r="A72" s="420"/>
      <c r="B72" s="420"/>
      <c r="C72" s="420"/>
      <c r="D72" s="420"/>
      <c r="E72" s="420"/>
      <c r="F72" s="420"/>
      <c r="G72" s="420"/>
      <c r="H72" s="420"/>
      <c r="I72" s="420"/>
      <c r="J72" s="420"/>
      <c r="K72" s="420"/>
    </row>
    <row r="73" spans="1:11" ht="17" thickBot="1">
      <c r="A73" s="420"/>
      <c r="B73" s="420"/>
      <c r="C73" s="420"/>
      <c r="D73" s="421" t="s">
        <v>59</v>
      </c>
      <c r="E73" s="447"/>
      <c r="F73" s="447"/>
      <c r="G73" s="447"/>
      <c r="H73" s="448"/>
      <c r="I73" s="420"/>
      <c r="J73" s="420"/>
      <c r="K73" s="420"/>
    </row>
    <row r="74" spans="1:11" ht="17">
      <c r="A74" s="424" t="s">
        <v>178</v>
      </c>
      <c r="B74" s="425" t="s">
        <v>178</v>
      </c>
      <c r="C74" s="426" t="s">
        <v>178</v>
      </c>
      <c r="D74" s="427" t="s">
        <v>359</v>
      </c>
      <c r="E74" s="449" t="s">
        <v>360</v>
      </c>
      <c r="F74" s="449" t="s">
        <v>361</v>
      </c>
      <c r="G74" s="449" t="s">
        <v>362</v>
      </c>
      <c r="H74" s="449" t="s">
        <v>363</v>
      </c>
      <c r="I74" s="420"/>
      <c r="J74" s="420"/>
      <c r="K74" s="420"/>
    </row>
    <row r="75" spans="1:11" ht="18">
      <c r="A75" s="442" t="s">
        <v>383</v>
      </c>
      <c r="B75" s="443"/>
      <c r="C75" s="430"/>
      <c r="D75" s="450">
        <v>5.2500000000000003E-3</v>
      </c>
      <c r="E75" s="450">
        <v>1.32E-3</v>
      </c>
      <c r="F75" s="450">
        <v>1.5100000000000001E-3</v>
      </c>
      <c r="G75" s="450">
        <v>3.0000000000000001E-3</v>
      </c>
      <c r="H75" s="450">
        <v>8.4500000000000006E-2</v>
      </c>
      <c r="I75" s="420"/>
      <c r="J75" s="420"/>
      <c r="K75" s="420"/>
    </row>
    <row r="76" spans="1:11">
      <c r="A76" s="434"/>
      <c r="B76" s="435"/>
      <c r="C76" s="436"/>
      <c r="D76" s="451"/>
      <c r="E76" s="451"/>
      <c r="F76" s="451"/>
      <c r="G76" s="437"/>
      <c r="H76" s="437"/>
      <c r="I76" s="420"/>
      <c r="J76" s="420"/>
      <c r="K76" s="420"/>
    </row>
    <row r="77" spans="1:11">
      <c r="A77" s="424"/>
      <c r="B77" s="425"/>
      <c r="C77" s="426"/>
      <c r="D77" s="438"/>
      <c r="E77" s="438"/>
      <c r="F77" s="438"/>
      <c r="G77" s="438"/>
      <c r="H77" s="438"/>
      <c r="I77" s="420"/>
      <c r="J77" s="420"/>
      <c r="K77" s="420"/>
    </row>
    <row r="78" spans="1:11">
      <c r="A78" s="442" t="s">
        <v>356</v>
      </c>
      <c r="B78" s="443"/>
      <c r="C78" s="430"/>
      <c r="D78" s="452" t="e">
        <f>ROUND(#REF!*D75/2000,4)</f>
        <v>#REF!</v>
      </c>
      <c r="E78" s="452" t="e">
        <f>ROUND(#REF!*E75/2000,4)</f>
        <v>#REF!</v>
      </c>
      <c r="F78" s="452" t="e">
        <f>ROUND(#REF!*F75/2000,4)</f>
        <v>#REF!</v>
      </c>
      <c r="G78" s="452" t="e">
        <f>ROUND(#REF!*G75/2000,4)</f>
        <v>#REF!</v>
      </c>
      <c r="H78" s="452" t="e">
        <f>ROUND(#REF!*H75/2000,4)</f>
        <v>#REF!</v>
      </c>
      <c r="I78" s="420"/>
      <c r="J78" s="420"/>
      <c r="K78" s="420"/>
    </row>
    <row r="79" spans="1:11">
      <c r="A79" s="434"/>
      <c r="B79" s="435"/>
      <c r="C79" s="436"/>
      <c r="D79" s="445"/>
      <c r="E79" s="445"/>
      <c r="F79" s="445"/>
      <c r="G79" s="445"/>
      <c r="H79" s="445"/>
      <c r="I79" s="420"/>
      <c r="J79" s="420"/>
      <c r="K79" s="420"/>
    </row>
    <row r="80" spans="1:11">
      <c r="A80" s="420"/>
      <c r="B80" s="420"/>
      <c r="C80" s="420"/>
      <c r="D80" s="420"/>
      <c r="E80" s="420"/>
      <c r="F80" s="453" t="s">
        <v>364</v>
      </c>
      <c r="G80" s="454"/>
      <c r="H80" s="455" t="e">
        <f>SUM(D70:H70,D78:H78)</f>
        <v>#REF!</v>
      </c>
      <c r="I80" s="420"/>
      <c r="J80" s="420"/>
      <c r="K80" s="420"/>
    </row>
    <row r="81" spans="1:11">
      <c r="A81" s="443"/>
      <c r="B81" s="443"/>
      <c r="C81" s="443"/>
      <c r="D81" s="420"/>
      <c r="E81" s="420"/>
      <c r="F81" s="420"/>
      <c r="G81" s="420"/>
      <c r="H81" s="420"/>
      <c r="I81" s="420"/>
      <c r="J81" s="420"/>
      <c r="K81" s="420"/>
    </row>
    <row r="82" spans="1:11">
      <c r="A82" s="420"/>
      <c r="B82" s="420"/>
      <c r="C82" s="420"/>
      <c r="D82" s="420"/>
      <c r="E82" s="420"/>
      <c r="F82" s="420"/>
      <c r="G82" s="420"/>
      <c r="H82" s="420"/>
      <c r="I82" s="456"/>
      <c r="J82" s="420"/>
      <c r="K82" s="420"/>
    </row>
  </sheetData>
  <mergeCells count="33">
    <mergeCell ref="M40:O40"/>
    <mergeCell ref="A45:L45"/>
    <mergeCell ref="A47:G47"/>
    <mergeCell ref="M47:R47"/>
    <mergeCell ref="A48:G48"/>
    <mergeCell ref="M48:R48"/>
    <mergeCell ref="V33:V35"/>
    <mergeCell ref="A34:A35"/>
    <mergeCell ref="D34:D35"/>
    <mergeCell ref="E33:K33"/>
    <mergeCell ref="L33:P33"/>
    <mergeCell ref="Q33:U33"/>
    <mergeCell ref="A70:B70"/>
    <mergeCell ref="D73:H73"/>
    <mergeCell ref="A75:B75"/>
    <mergeCell ref="A78:B78"/>
    <mergeCell ref="F80:G80"/>
    <mergeCell ref="A81:C81"/>
    <mergeCell ref="D57:J57"/>
    <mergeCell ref="A62:B62"/>
    <mergeCell ref="D65:H65"/>
    <mergeCell ref="A67:B67"/>
    <mergeCell ref="P5:T5"/>
    <mergeCell ref="U5:U7"/>
    <mergeCell ref="A18:C18"/>
    <mergeCell ref="A20:F20"/>
    <mergeCell ref="A21:F21"/>
    <mergeCell ref="A5:A7"/>
    <mergeCell ref="B5:D6"/>
    <mergeCell ref="E5:E6"/>
    <mergeCell ref="F5:F6"/>
    <mergeCell ref="G5:G6"/>
    <mergeCell ref="H5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1"/>
  <sheetViews>
    <sheetView zoomScaleNormal="100" zoomScalePageLayoutView="75" workbookViewId="0"/>
  </sheetViews>
  <sheetFormatPr baseColWidth="10" defaultColWidth="10.6640625" defaultRowHeight="16"/>
  <cols>
    <col min="1" max="3" width="15.83203125" style="3" customWidth="1"/>
    <col min="4" max="4" width="28.33203125" style="3" bestFit="1" customWidth="1"/>
    <col min="5" max="5" width="24.33203125" style="3" bestFit="1" customWidth="1"/>
    <col min="6" max="16" width="15.83203125" style="3" customWidth="1"/>
    <col min="17" max="16384" width="10.6640625" style="3"/>
  </cols>
  <sheetData>
    <row r="1" spans="1:16">
      <c r="A1" s="21" t="s">
        <v>5</v>
      </c>
      <c r="B1" s="21"/>
      <c r="C1" s="21"/>
      <c r="D1" s="33"/>
      <c r="E1" s="33"/>
      <c r="F1" s="33"/>
      <c r="G1" s="33"/>
      <c r="H1" s="33"/>
      <c r="I1" s="33"/>
      <c r="J1" s="33"/>
      <c r="K1" s="33"/>
    </row>
    <row r="2" spans="1:16">
      <c r="A2" s="7"/>
      <c r="B2" s="36"/>
      <c r="C2" s="36"/>
      <c r="D2" s="32"/>
      <c r="E2" s="32"/>
      <c r="F2" s="32"/>
      <c r="G2" s="32"/>
      <c r="H2" s="32"/>
      <c r="I2" s="33"/>
      <c r="J2" s="33"/>
      <c r="K2" s="33"/>
    </row>
    <row r="3" spans="1:16">
      <c r="A3" s="18" t="s">
        <v>385</v>
      </c>
      <c r="B3" s="22"/>
      <c r="C3" s="23"/>
      <c r="D3" s="32"/>
      <c r="E3" s="32"/>
      <c r="F3" s="32"/>
      <c r="G3" s="32"/>
      <c r="H3" s="32"/>
      <c r="I3" s="33"/>
      <c r="J3" s="33"/>
      <c r="K3" s="33"/>
    </row>
    <row r="4" spans="1:16">
      <c r="A4" s="7"/>
      <c r="B4" s="36"/>
      <c r="C4" s="36"/>
      <c r="D4" s="32"/>
      <c r="E4" s="32"/>
      <c r="F4" s="32"/>
      <c r="G4" s="32"/>
      <c r="H4" s="32"/>
      <c r="I4" s="33"/>
      <c r="J4" s="33"/>
      <c r="K4" s="33"/>
    </row>
    <row r="5" spans="1:16" ht="29" customHeight="1">
      <c r="A5" s="134" t="s">
        <v>94</v>
      </c>
      <c r="B5" s="134" t="s">
        <v>100</v>
      </c>
      <c r="C5" s="134" t="s">
        <v>102</v>
      </c>
      <c r="D5" s="134" t="s">
        <v>95</v>
      </c>
      <c r="E5" s="134" t="s">
        <v>96</v>
      </c>
      <c r="F5" s="134" t="s">
        <v>97</v>
      </c>
      <c r="G5" s="134" t="s">
        <v>98</v>
      </c>
      <c r="H5" s="134" t="s">
        <v>99</v>
      </c>
      <c r="I5" s="134" t="s">
        <v>101</v>
      </c>
      <c r="J5" s="134" t="s">
        <v>2</v>
      </c>
      <c r="K5" s="134" t="s">
        <v>157</v>
      </c>
      <c r="L5" s="134" t="s">
        <v>3</v>
      </c>
      <c r="M5" s="134" t="s">
        <v>158</v>
      </c>
      <c r="N5" s="134" t="s">
        <v>158</v>
      </c>
      <c r="O5" s="134" t="s">
        <v>159</v>
      </c>
      <c r="P5" s="134" t="s">
        <v>159</v>
      </c>
    </row>
    <row r="6" spans="1:16" ht="16" customHeigh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</row>
    <row r="7" spans="1:16">
      <c r="A7" s="157"/>
      <c r="B7" s="157"/>
      <c r="C7" s="157"/>
      <c r="D7" s="157"/>
      <c r="E7" s="157"/>
      <c r="F7" s="157"/>
      <c r="G7" s="157"/>
      <c r="H7" s="157"/>
      <c r="I7" s="157"/>
      <c r="J7" s="84" t="s">
        <v>6</v>
      </c>
      <c r="K7" s="83" t="s">
        <v>17</v>
      </c>
      <c r="L7" s="83" t="s">
        <v>17</v>
      </c>
      <c r="M7" s="83" t="s">
        <v>54</v>
      </c>
      <c r="N7" s="83" t="s">
        <v>55</v>
      </c>
      <c r="O7" s="83" t="s">
        <v>54</v>
      </c>
      <c r="P7" s="83" t="s">
        <v>55</v>
      </c>
    </row>
    <row r="8" spans="1:16">
      <c r="A8" s="42" t="s">
        <v>147</v>
      </c>
      <c r="B8" s="109"/>
      <c r="C8" s="110"/>
      <c r="D8" s="109"/>
      <c r="E8" s="109"/>
      <c r="F8" s="109"/>
      <c r="G8" s="109"/>
      <c r="H8" s="109"/>
      <c r="I8" s="109"/>
      <c r="J8" s="109"/>
      <c r="K8" s="24">
        <v>1</v>
      </c>
      <c r="L8" s="111">
        <v>1E-3</v>
      </c>
      <c r="M8" s="102">
        <f t="shared" ref="M8:M9" si="0">ROUND(J8*K8*L8,2)</f>
        <v>0</v>
      </c>
      <c r="N8" s="102">
        <f t="shared" ref="N8:N9" si="1">ROUND(M8*365/2000,2)</f>
        <v>0</v>
      </c>
      <c r="O8" s="102">
        <f t="shared" ref="O8:O9" si="2">ROUND(L8*M8*N8,2)</f>
        <v>0</v>
      </c>
      <c r="P8" s="102">
        <f t="shared" ref="P8:P9" si="3">ROUND(O8*365/2000,2)</f>
        <v>0</v>
      </c>
    </row>
    <row r="9" spans="1:16">
      <c r="A9" s="42" t="s">
        <v>148</v>
      </c>
      <c r="B9" s="109"/>
      <c r="C9" s="110"/>
      <c r="D9" s="109"/>
      <c r="E9" s="109"/>
      <c r="F9" s="109"/>
      <c r="G9" s="109"/>
      <c r="H9" s="109"/>
      <c r="I9" s="109"/>
      <c r="J9" s="109"/>
      <c r="K9" s="24">
        <v>1</v>
      </c>
      <c r="L9" s="111">
        <v>1E-3</v>
      </c>
      <c r="M9" s="102">
        <f t="shared" si="0"/>
        <v>0</v>
      </c>
      <c r="N9" s="102">
        <f t="shared" si="1"/>
        <v>0</v>
      </c>
      <c r="O9" s="102">
        <f t="shared" si="2"/>
        <v>0</v>
      </c>
      <c r="P9" s="102">
        <f t="shared" si="3"/>
        <v>0</v>
      </c>
    </row>
    <row r="10" spans="1:16">
      <c r="A10" s="32"/>
      <c r="B10" s="33"/>
      <c r="C10" s="33"/>
      <c r="D10" s="33"/>
      <c r="E10" s="1"/>
      <c r="F10" s="1"/>
      <c r="G10" s="5"/>
      <c r="H10" s="5"/>
      <c r="I10" s="5"/>
      <c r="J10" s="5"/>
      <c r="K10" s="5"/>
      <c r="L10" s="31" t="s">
        <v>47</v>
      </c>
      <c r="M10" s="112">
        <f>SUM(M8:M9)</f>
        <v>0</v>
      </c>
      <c r="N10" s="112">
        <f>SUM(N8:N9)</f>
        <v>0</v>
      </c>
      <c r="O10" s="112">
        <f>SUM(O8:O9)</f>
        <v>0</v>
      </c>
      <c r="P10" s="112">
        <f>SUM(P8:P9)</f>
        <v>0</v>
      </c>
    </row>
    <row r="11" spans="1:16">
      <c r="A11" s="33" t="s">
        <v>113</v>
      </c>
      <c r="B11" s="33"/>
      <c r="C11" s="33"/>
      <c r="D11" s="33"/>
      <c r="E11" s="33"/>
      <c r="F11" s="33"/>
      <c r="G11" s="33"/>
      <c r="H11" s="33"/>
      <c r="I11" s="25"/>
      <c r="J11" s="5"/>
      <c r="K11" s="33"/>
    </row>
    <row r="12" spans="1:16">
      <c r="A12" s="33"/>
      <c r="B12" s="33"/>
      <c r="C12" s="33"/>
      <c r="D12" s="33"/>
      <c r="E12" s="33"/>
      <c r="F12" s="33"/>
      <c r="G12" s="33"/>
      <c r="H12" s="33"/>
      <c r="I12" s="25"/>
      <c r="J12" s="5"/>
      <c r="K12" s="33"/>
    </row>
    <row r="13" spans="1:16" ht="18">
      <c r="A13" s="34" t="s">
        <v>155</v>
      </c>
      <c r="B13" s="33"/>
      <c r="C13" s="33"/>
      <c r="D13" s="33"/>
      <c r="E13" s="33"/>
      <c r="F13" s="33"/>
      <c r="G13" s="33"/>
      <c r="H13" s="33"/>
      <c r="I13" s="25"/>
      <c r="J13" s="5"/>
      <c r="K13" s="33"/>
    </row>
    <row r="14" spans="1:16" ht="16" customHeight="1">
      <c r="A14" s="158" t="s">
        <v>156</v>
      </c>
      <c r="B14" s="158"/>
      <c r="C14" s="158"/>
      <c r="D14" s="158"/>
      <c r="E14" s="158"/>
      <c r="F14" s="158"/>
      <c r="G14" s="158"/>
      <c r="H14" s="158"/>
      <c r="I14" s="158"/>
      <c r="J14" s="158"/>
      <c r="K14" s="33"/>
    </row>
    <row r="15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6">
      <c r="A16" s="206" t="s">
        <v>243</v>
      </c>
    </row>
    <row r="17" spans="1:11">
      <c r="A17" s="209" t="s">
        <v>244</v>
      </c>
    </row>
    <row r="19" spans="1:11" ht="15" customHeight="1">
      <c r="A19" s="159" t="s">
        <v>114</v>
      </c>
      <c r="B19" s="159"/>
      <c r="C19" s="159"/>
      <c r="D19" s="159"/>
      <c r="E19" s="159"/>
      <c r="F19" s="159"/>
      <c r="G19" s="159"/>
      <c r="H19" s="159"/>
      <c r="I19" s="159"/>
      <c r="J19" s="159"/>
      <c r="K19" s="33"/>
    </row>
    <row r="20" spans="1:11" ht="1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3"/>
    </row>
    <row r="21" spans="1:11" ht="15" customHeight="1">
      <c r="A21" s="90" t="s">
        <v>153</v>
      </c>
      <c r="B21" s="113"/>
      <c r="C21" s="113"/>
      <c r="D21" s="113"/>
      <c r="E21" s="37"/>
      <c r="F21" s="37"/>
      <c r="G21" s="37"/>
      <c r="H21" s="37"/>
      <c r="I21" s="37"/>
      <c r="J21" s="37"/>
      <c r="K21" s="33"/>
    </row>
  </sheetData>
  <mergeCells count="18">
    <mergeCell ref="A14:J14"/>
    <mergeCell ref="A19:J19"/>
    <mergeCell ref="L5:L6"/>
    <mergeCell ref="M5:M6"/>
    <mergeCell ref="N5:N6"/>
    <mergeCell ref="F5:F7"/>
    <mergeCell ref="D5:D7"/>
    <mergeCell ref="B5:B7"/>
    <mergeCell ref="A5:A7"/>
    <mergeCell ref="E5:E7"/>
    <mergeCell ref="G5:G7"/>
    <mergeCell ref="C5:C7"/>
    <mergeCell ref="O5:O6"/>
    <mergeCell ref="P5:P6"/>
    <mergeCell ref="J5:J6"/>
    <mergeCell ref="I5:I7"/>
    <mergeCell ref="H5:H7"/>
    <mergeCell ref="K5:K6"/>
  </mergeCells>
  <phoneticPr fontId="3" type="noConversion"/>
  <pageMargins left="1" right="1" top="1" bottom="1" header="0.5" footer="0.5"/>
  <pageSetup scale="42" orientation="landscape" horizontalDpi="4294967292" verticalDpi="4294967292"/>
  <colBreaks count="1" manualBreakCount="1">
    <brk id="11" max="1048575" man="1"/>
  </colBreaks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8813-7B2F-274D-90F2-2C7C3BD50932}">
  <dimension ref="A1:R47"/>
  <sheetViews>
    <sheetView workbookViewId="0"/>
  </sheetViews>
  <sheetFormatPr baseColWidth="10" defaultColWidth="12.1640625" defaultRowHeight="16"/>
  <cols>
    <col min="1" max="1" width="9.33203125" style="214" customWidth="1"/>
    <col min="2" max="2" width="20.33203125" style="214" customWidth="1"/>
    <col min="3" max="10" width="8.5" style="214" customWidth="1"/>
    <col min="11" max="11" width="11.6640625" style="214" customWidth="1"/>
    <col min="12" max="13" width="17.1640625" style="214" customWidth="1"/>
    <col min="14" max="14" width="16.33203125" style="214" customWidth="1"/>
    <col min="15" max="15" width="17" style="214" customWidth="1"/>
    <col min="16" max="16" width="13.6640625" style="214" customWidth="1"/>
    <col min="17" max="17" width="15.5" style="214" customWidth="1"/>
    <col min="18" max="18" width="13.6640625" style="214" customWidth="1"/>
    <col min="19" max="256" width="12.1640625" style="214"/>
    <col min="257" max="257" width="9.33203125" style="214" customWidth="1"/>
    <col min="258" max="258" width="20.33203125" style="214" customWidth="1"/>
    <col min="259" max="266" width="8.5" style="214" customWidth="1"/>
    <col min="267" max="267" width="11.6640625" style="214" customWidth="1"/>
    <col min="268" max="269" width="17.1640625" style="214" customWidth="1"/>
    <col min="270" max="270" width="16.33203125" style="214" customWidth="1"/>
    <col min="271" max="271" width="17" style="214" customWidth="1"/>
    <col min="272" max="272" width="13.6640625" style="214" customWidth="1"/>
    <col min="273" max="273" width="15.5" style="214" customWidth="1"/>
    <col min="274" max="274" width="13.6640625" style="214" customWidth="1"/>
    <col min="275" max="512" width="12.1640625" style="214"/>
    <col min="513" max="513" width="9.33203125" style="214" customWidth="1"/>
    <col min="514" max="514" width="20.33203125" style="214" customWidth="1"/>
    <col min="515" max="522" width="8.5" style="214" customWidth="1"/>
    <col min="523" max="523" width="11.6640625" style="214" customWidth="1"/>
    <col min="524" max="525" width="17.1640625" style="214" customWidth="1"/>
    <col min="526" max="526" width="16.33203125" style="214" customWidth="1"/>
    <col min="527" max="527" width="17" style="214" customWidth="1"/>
    <col min="528" max="528" width="13.6640625" style="214" customWidth="1"/>
    <col min="529" max="529" width="15.5" style="214" customWidth="1"/>
    <col min="530" max="530" width="13.6640625" style="214" customWidth="1"/>
    <col min="531" max="768" width="12.1640625" style="214"/>
    <col min="769" max="769" width="9.33203125" style="214" customWidth="1"/>
    <col min="770" max="770" width="20.33203125" style="214" customWidth="1"/>
    <col min="771" max="778" width="8.5" style="214" customWidth="1"/>
    <col min="779" max="779" width="11.6640625" style="214" customWidth="1"/>
    <col min="780" max="781" width="17.1640625" style="214" customWidth="1"/>
    <col min="782" max="782" width="16.33203125" style="214" customWidth="1"/>
    <col min="783" max="783" width="17" style="214" customWidth="1"/>
    <col min="784" max="784" width="13.6640625" style="214" customWidth="1"/>
    <col min="785" max="785" width="15.5" style="214" customWidth="1"/>
    <col min="786" max="786" width="13.6640625" style="214" customWidth="1"/>
    <col min="787" max="1024" width="12.1640625" style="214"/>
    <col min="1025" max="1025" width="9.33203125" style="214" customWidth="1"/>
    <col min="1026" max="1026" width="20.33203125" style="214" customWidth="1"/>
    <col min="1027" max="1034" width="8.5" style="214" customWidth="1"/>
    <col min="1035" max="1035" width="11.6640625" style="214" customWidth="1"/>
    <col min="1036" max="1037" width="17.1640625" style="214" customWidth="1"/>
    <col min="1038" max="1038" width="16.33203125" style="214" customWidth="1"/>
    <col min="1039" max="1039" width="17" style="214" customWidth="1"/>
    <col min="1040" max="1040" width="13.6640625" style="214" customWidth="1"/>
    <col min="1041" max="1041" width="15.5" style="214" customWidth="1"/>
    <col min="1042" max="1042" width="13.6640625" style="214" customWidth="1"/>
    <col min="1043" max="1280" width="12.1640625" style="214"/>
    <col min="1281" max="1281" width="9.33203125" style="214" customWidth="1"/>
    <col min="1282" max="1282" width="20.33203125" style="214" customWidth="1"/>
    <col min="1283" max="1290" width="8.5" style="214" customWidth="1"/>
    <col min="1291" max="1291" width="11.6640625" style="214" customWidth="1"/>
    <col min="1292" max="1293" width="17.1640625" style="214" customWidth="1"/>
    <col min="1294" max="1294" width="16.33203125" style="214" customWidth="1"/>
    <col min="1295" max="1295" width="17" style="214" customWidth="1"/>
    <col min="1296" max="1296" width="13.6640625" style="214" customWidth="1"/>
    <col min="1297" max="1297" width="15.5" style="214" customWidth="1"/>
    <col min="1298" max="1298" width="13.6640625" style="214" customWidth="1"/>
    <col min="1299" max="1536" width="12.1640625" style="214"/>
    <col min="1537" max="1537" width="9.33203125" style="214" customWidth="1"/>
    <col min="1538" max="1538" width="20.33203125" style="214" customWidth="1"/>
    <col min="1539" max="1546" width="8.5" style="214" customWidth="1"/>
    <col min="1547" max="1547" width="11.6640625" style="214" customWidth="1"/>
    <col min="1548" max="1549" width="17.1640625" style="214" customWidth="1"/>
    <col min="1550" max="1550" width="16.33203125" style="214" customWidth="1"/>
    <col min="1551" max="1551" width="17" style="214" customWidth="1"/>
    <col min="1552" max="1552" width="13.6640625" style="214" customWidth="1"/>
    <col min="1553" max="1553" width="15.5" style="214" customWidth="1"/>
    <col min="1554" max="1554" width="13.6640625" style="214" customWidth="1"/>
    <col min="1555" max="1792" width="12.1640625" style="214"/>
    <col min="1793" max="1793" width="9.33203125" style="214" customWidth="1"/>
    <col min="1794" max="1794" width="20.33203125" style="214" customWidth="1"/>
    <col min="1795" max="1802" width="8.5" style="214" customWidth="1"/>
    <col min="1803" max="1803" width="11.6640625" style="214" customWidth="1"/>
    <col min="1804" max="1805" width="17.1640625" style="214" customWidth="1"/>
    <col min="1806" max="1806" width="16.33203125" style="214" customWidth="1"/>
    <col min="1807" max="1807" width="17" style="214" customWidth="1"/>
    <col min="1808" max="1808" width="13.6640625" style="214" customWidth="1"/>
    <col min="1809" max="1809" width="15.5" style="214" customWidth="1"/>
    <col min="1810" max="1810" width="13.6640625" style="214" customWidth="1"/>
    <col min="1811" max="2048" width="12.1640625" style="214"/>
    <col min="2049" max="2049" width="9.33203125" style="214" customWidth="1"/>
    <col min="2050" max="2050" width="20.33203125" style="214" customWidth="1"/>
    <col min="2051" max="2058" width="8.5" style="214" customWidth="1"/>
    <col min="2059" max="2059" width="11.6640625" style="214" customWidth="1"/>
    <col min="2060" max="2061" width="17.1640625" style="214" customWidth="1"/>
    <col min="2062" max="2062" width="16.33203125" style="214" customWidth="1"/>
    <col min="2063" max="2063" width="17" style="214" customWidth="1"/>
    <col min="2064" max="2064" width="13.6640625" style="214" customWidth="1"/>
    <col min="2065" max="2065" width="15.5" style="214" customWidth="1"/>
    <col min="2066" max="2066" width="13.6640625" style="214" customWidth="1"/>
    <col min="2067" max="2304" width="12.1640625" style="214"/>
    <col min="2305" max="2305" width="9.33203125" style="214" customWidth="1"/>
    <col min="2306" max="2306" width="20.33203125" style="214" customWidth="1"/>
    <col min="2307" max="2314" width="8.5" style="214" customWidth="1"/>
    <col min="2315" max="2315" width="11.6640625" style="214" customWidth="1"/>
    <col min="2316" max="2317" width="17.1640625" style="214" customWidth="1"/>
    <col min="2318" max="2318" width="16.33203125" style="214" customWidth="1"/>
    <col min="2319" max="2319" width="17" style="214" customWidth="1"/>
    <col min="2320" max="2320" width="13.6640625" style="214" customWidth="1"/>
    <col min="2321" max="2321" width="15.5" style="214" customWidth="1"/>
    <col min="2322" max="2322" width="13.6640625" style="214" customWidth="1"/>
    <col min="2323" max="2560" width="12.1640625" style="214"/>
    <col min="2561" max="2561" width="9.33203125" style="214" customWidth="1"/>
    <col min="2562" max="2562" width="20.33203125" style="214" customWidth="1"/>
    <col min="2563" max="2570" width="8.5" style="214" customWidth="1"/>
    <col min="2571" max="2571" width="11.6640625" style="214" customWidth="1"/>
    <col min="2572" max="2573" width="17.1640625" style="214" customWidth="1"/>
    <col min="2574" max="2574" width="16.33203125" style="214" customWidth="1"/>
    <col min="2575" max="2575" width="17" style="214" customWidth="1"/>
    <col min="2576" max="2576" width="13.6640625" style="214" customWidth="1"/>
    <col min="2577" max="2577" width="15.5" style="214" customWidth="1"/>
    <col min="2578" max="2578" width="13.6640625" style="214" customWidth="1"/>
    <col min="2579" max="2816" width="12.1640625" style="214"/>
    <col min="2817" max="2817" width="9.33203125" style="214" customWidth="1"/>
    <col min="2818" max="2818" width="20.33203125" style="214" customWidth="1"/>
    <col min="2819" max="2826" width="8.5" style="214" customWidth="1"/>
    <col min="2827" max="2827" width="11.6640625" style="214" customWidth="1"/>
    <col min="2828" max="2829" width="17.1640625" style="214" customWidth="1"/>
    <col min="2830" max="2830" width="16.33203125" style="214" customWidth="1"/>
    <col min="2831" max="2831" width="17" style="214" customWidth="1"/>
    <col min="2832" max="2832" width="13.6640625" style="214" customWidth="1"/>
    <col min="2833" max="2833" width="15.5" style="214" customWidth="1"/>
    <col min="2834" max="2834" width="13.6640625" style="214" customWidth="1"/>
    <col min="2835" max="3072" width="12.1640625" style="214"/>
    <col min="3073" max="3073" width="9.33203125" style="214" customWidth="1"/>
    <col min="3074" max="3074" width="20.33203125" style="214" customWidth="1"/>
    <col min="3075" max="3082" width="8.5" style="214" customWidth="1"/>
    <col min="3083" max="3083" width="11.6640625" style="214" customWidth="1"/>
    <col min="3084" max="3085" width="17.1640625" style="214" customWidth="1"/>
    <col min="3086" max="3086" width="16.33203125" style="214" customWidth="1"/>
    <col min="3087" max="3087" width="17" style="214" customWidth="1"/>
    <col min="3088" max="3088" width="13.6640625" style="214" customWidth="1"/>
    <col min="3089" max="3089" width="15.5" style="214" customWidth="1"/>
    <col min="3090" max="3090" width="13.6640625" style="214" customWidth="1"/>
    <col min="3091" max="3328" width="12.1640625" style="214"/>
    <col min="3329" max="3329" width="9.33203125" style="214" customWidth="1"/>
    <col min="3330" max="3330" width="20.33203125" style="214" customWidth="1"/>
    <col min="3331" max="3338" width="8.5" style="214" customWidth="1"/>
    <col min="3339" max="3339" width="11.6640625" style="214" customWidth="1"/>
    <col min="3340" max="3341" width="17.1640625" style="214" customWidth="1"/>
    <col min="3342" max="3342" width="16.33203125" style="214" customWidth="1"/>
    <col min="3343" max="3343" width="17" style="214" customWidth="1"/>
    <col min="3344" max="3344" width="13.6640625" style="214" customWidth="1"/>
    <col min="3345" max="3345" width="15.5" style="214" customWidth="1"/>
    <col min="3346" max="3346" width="13.6640625" style="214" customWidth="1"/>
    <col min="3347" max="3584" width="12.1640625" style="214"/>
    <col min="3585" max="3585" width="9.33203125" style="214" customWidth="1"/>
    <col min="3586" max="3586" width="20.33203125" style="214" customWidth="1"/>
    <col min="3587" max="3594" width="8.5" style="214" customWidth="1"/>
    <col min="3595" max="3595" width="11.6640625" style="214" customWidth="1"/>
    <col min="3596" max="3597" width="17.1640625" style="214" customWidth="1"/>
    <col min="3598" max="3598" width="16.33203125" style="214" customWidth="1"/>
    <col min="3599" max="3599" width="17" style="214" customWidth="1"/>
    <col min="3600" max="3600" width="13.6640625" style="214" customWidth="1"/>
    <col min="3601" max="3601" width="15.5" style="214" customWidth="1"/>
    <col min="3602" max="3602" width="13.6640625" style="214" customWidth="1"/>
    <col min="3603" max="3840" width="12.1640625" style="214"/>
    <col min="3841" max="3841" width="9.33203125" style="214" customWidth="1"/>
    <col min="3842" max="3842" width="20.33203125" style="214" customWidth="1"/>
    <col min="3843" max="3850" width="8.5" style="214" customWidth="1"/>
    <col min="3851" max="3851" width="11.6640625" style="214" customWidth="1"/>
    <col min="3852" max="3853" width="17.1640625" style="214" customWidth="1"/>
    <col min="3854" max="3854" width="16.33203125" style="214" customWidth="1"/>
    <col min="3855" max="3855" width="17" style="214" customWidth="1"/>
    <col min="3856" max="3856" width="13.6640625" style="214" customWidth="1"/>
    <col min="3857" max="3857" width="15.5" style="214" customWidth="1"/>
    <col min="3858" max="3858" width="13.6640625" style="214" customWidth="1"/>
    <col min="3859" max="4096" width="12.1640625" style="214"/>
    <col min="4097" max="4097" width="9.33203125" style="214" customWidth="1"/>
    <col min="4098" max="4098" width="20.33203125" style="214" customWidth="1"/>
    <col min="4099" max="4106" width="8.5" style="214" customWidth="1"/>
    <col min="4107" max="4107" width="11.6640625" style="214" customWidth="1"/>
    <col min="4108" max="4109" width="17.1640625" style="214" customWidth="1"/>
    <col min="4110" max="4110" width="16.33203125" style="214" customWidth="1"/>
    <col min="4111" max="4111" width="17" style="214" customWidth="1"/>
    <col min="4112" max="4112" width="13.6640625" style="214" customWidth="1"/>
    <col min="4113" max="4113" width="15.5" style="214" customWidth="1"/>
    <col min="4114" max="4114" width="13.6640625" style="214" customWidth="1"/>
    <col min="4115" max="4352" width="12.1640625" style="214"/>
    <col min="4353" max="4353" width="9.33203125" style="214" customWidth="1"/>
    <col min="4354" max="4354" width="20.33203125" style="214" customWidth="1"/>
    <col min="4355" max="4362" width="8.5" style="214" customWidth="1"/>
    <col min="4363" max="4363" width="11.6640625" style="214" customWidth="1"/>
    <col min="4364" max="4365" width="17.1640625" style="214" customWidth="1"/>
    <col min="4366" max="4366" width="16.33203125" style="214" customWidth="1"/>
    <col min="4367" max="4367" width="17" style="214" customWidth="1"/>
    <col min="4368" max="4368" width="13.6640625" style="214" customWidth="1"/>
    <col min="4369" max="4369" width="15.5" style="214" customWidth="1"/>
    <col min="4370" max="4370" width="13.6640625" style="214" customWidth="1"/>
    <col min="4371" max="4608" width="12.1640625" style="214"/>
    <col min="4609" max="4609" width="9.33203125" style="214" customWidth="1"/>
    <col min="4610" max="4610" width="20.33203125" style="214" customWidth="1"/>
    <col min="4611" max="4618" width="8.5" style="214" customWidth="1"/>
    <col min="4619" max="4619" width="11.6640625" style="214" customWidth="1"/>
    <col min="4620" max="4621" width="17.1640625" style="214" customWidth="1"/>
    <col min="4622" max="4622" width="16.33203125" style="214" customWidth="1"/>
    <col min="4623" max="4623" width="17" style="214" customWidth="1"/>
    <col min="4624" max="4624" width="13.6640625" style="214" customWidth="1"/>
    <col min="4625" max="4625" width="15.5" style="214" customWidth="1"/>
    <col min="4626" max="4626" width="13.6640625" style="214" customWidth="1"/>
    <col min="4627" max="4864" width="12.1640625" style="214"/>
    <col min="4865" max="4865" width="9.33203125" style="214" customWidth="1"/>
    <col min="4866" max="4866" width="20.33203125" style="214" customWidth="1"/>
    <col min="4867" max="4874" width="8.5" style="214" customWidth="1"/>
    <col min="4875" max="4875" width="11.6640625" style="214" customWidth="1"/>
    <col min="4876" max="4877" width="17.1640625" style="214" customWidth="1"/>
    <col min="4878" max="4878" width="16.33203125" style="214" customWidth="1"/>
    <col min="4879" max="4879" width="17" style="214" customWidth="1"/>
    <col min="4880" max="4880" width="13.6640625" style="214" customWidth="1"/>
    <col min="4881" max="4881" width="15.5" style="214" customWidth="1"/>
    <col min="4882" max="4882" width="13.6640625" style="214" customWidth="1"/>
    <col min="4883" max="5120" width="12.1640625" style="214"/>
    <col min="5121" max="5121" width="9.33203125" style="214" customWidth="1"/>
    <col min="5122" max="5122" width="20.33203125" style="214" customWidth="1"/>
    <col min="5123" max="5130" width="8.5" style="214" customWidth="1"/>
    <col min="5131" max="5131" width="11.6640625" style="214" customWidth="1"/>
    <col min="5132" max="5133" width="17.1640625" style="214" customWidth="1"/>
    <col min="5134" max="5134" width="16.33203125" style="214" customWidth="1"/>
    <col min="5135" max="5135" width="17" style="214" customWidth="1"/>
    <col min="5136" max="5136" width="13.6640625" style="214" customWidth="1"/>
    <col min="5137" max="5137" width="15.5" style="214" customWidth="1"/>
    <col min="5138" max="5138" width="13.6640625" style="214" customWidth="1"/>
    <col min="5139" max="5376" width="12.1640625" style="214"/>
    <col min="5377" max="5377" width="9.33203125" style="214" customWidth="1"/>
    <col min="5378" max="5378" width="20.33203125" style="214" customWidth="1"/>
    <col min="5379" max="5386" width="8.5" style="214" customWidth="1"/>
    <col min="5387" max="5387" width="11.6640625" style="214" customWidth="1"/>
    <col min="5388" max="5389" width="17.1640625" style="214" customWidth="1"/>
    <col min="5390" max="5390" width="16.33203125" style="214" customWidth="1"/>
    <col min="5391" max="5391" width="17" style="214" customWidth="1"/>
    <col min="5392" max="5392" width="13.6640625" style="214" customWidth="1"/>
    <col min="5393" max="5393" width="15.5" style="214" customWidth="1"/>
    <col min="5394" max="5394" width="13.6640625" style="214" customWidth="1"/>
    <col min="5395" max="5632" width="12.1640625" style="214"/>
    <col min="5633" max="5633" width="9.33203125" style="214" customWidth="1"/>
    <col min="5634" max="5634" width="20.33203125" style="214" customWidth="1"/>
    <col min="5635" max="5642" width="8.5" style="214" customWidth="1"/>
    <col min="5643" max="5643" width="11.6640625" style="214" customWidth="1"/>
    <col min="5644" max="5645" width="17.1640625" style="214" customWidth="1"/>
    <col min="5646" max="5646" width="16.33203125" style="214" customWidth="1"/>
    <col min="5647" max="5647" width="17" style="214" customWidth="1"/>
    <col min="5648" max="5648" width="13.6640625" style="214" customWidth="1"/>
    <col min="5649" max="5649" width="15.5" style="214" customWidth="1"/>
    <col min="5650" max="5650" width="13.6640625" style="214" customWidth="1"/>
    <col min="5651" max="5888" width="12.1640625" style="214"/>
    <col min="5889" max="5889" width="9.33203125" style="214" customWidth="1"/>
    <col min="5890" max="5890" width="20.33203125" style="214" customWidth="1"/>
    <col min="5891" max="5898" width="8.5" style="214" customWidth="1"/>
    <col min="5899" max="5899" width="11.6640625" style="214" customWidth="1"/>
    <col min="5900" max="5901" width="17.1640625" style="214" customWidth="1"/>
    <col min="5902" max="5902" width="16.33203125" style="214" customWidth="1"/>
    <col min="5903" max="5903" width="17" style="214" customWidth="1"/>
    <col min="5904" max="5904" width="13.6640625" style="214" customWidth="1"/>
    <col min="5905" max="5905" width="15.5" style="214" customWidth="1"/>
    <col min="5906" max="5906" width="13.6640625" style="214" customWidth="1"/>
    <col min="5907" max="6144" width="12.1640625" style="214"/>
    <col min="6145" max="6145" width="9.33203125" style="214" customWidth="1"/>
    <col min="6146" max="6146" width="20.33203125" style="214" customWidth="1"/>
    <col min="6147" max="6154" width="8.5" style="214" customWidth="1"/>
    <col min="6155" max="6155" width="11.6640625" style="214" customWidth="1"/>
    <col min="6156" max="6157" width="17.1640625" style="214" customWidth="1"/>
    <col min="6158" max="6158" width="16.33203125" style="214" customWidth="1"/>
    <col min="6159" max="6159" width="17" style="214" customWidth="1"/>
    <col min="6160" max="6160" width="13.6640625" style="214" customWidth="1"/>
    <col min="6161" max="6161" width="15.5" style="214" customWidth="1"/>
    <col min="6162" max="6162" width="13.6640625" style="214" customWidth="1"/>
    <col min="6163" max="6400" width="12.1640625" style="214"/>
    <col min="6401" max="6401" width="9.33203125" style="214" customWidth="1"/>
    <col min="6402" max="6402" width="20.33203125" style="214" customWidth="1"/>
    <col min="6403" max="6410" width="8.5" style="214" customWidth="1"/>
    <col min="6411" max="6411" width="11.6640625" style="214" customWidth="1"/>
    <col min="6412" max="6413" width="17.1640625" style="214" customWidth="1"/>
    <col min="6414" max="6414" width="16.33203125" style="214" customWidth="1"/>
    <col min="6415" max="6415" width="17" style="214" customWidth="1"/>
    <col min="6416" max="6416" width="13.6640625" style="214" customWidth="1"/>
    <col min="6417" max="6417" width="15.5" style="214" customWidth="1"/>
    <col min="6418" max="6418" width="13.6640625" style="214" customWidth="1"/>
    <col min="6419" max="6656" width="12.1640625" style="214"/>
    <col min="6657" max="6657" width="9.33203125" style="214" customWidth="1"/>
    <col min="6658" max="6658" width="20.33203125" style="214" customWidth="1"/>
    <col min="6659" max="6666" width="8.5" style="214" customWidth="1"/>
    <col min="6667" max="6667" width="11.6640625" style="214" customWidth="1"/>
    <col min="6668" max="6669" width="17.1640625" style="214" customWidth="1"/>
    <col min="6670" max="6670" width="16.33203125" style="214" customWidth="1"/>
    <col min="6671" max="6671" width="17" style="214" customWidth="1"/>
    <col min="6672" max="6672" width="13.6640625" style="214" customWidth="1"/>
    <col min="6673" max="6673" width="15.5" style="214" customWidth="1"/>
    <col min="6674" max="6674" width="13.6640625" style="214" customWidth="1"/>
    <col min="6675" max="6912" width="12.1640625" style="214"/>
    <col min="6913" max="6913" width="9.33203125" style="214" customWidth="1"/>
    <col min="6914" max="6914" width="20.33203125" style="214" customWidth="1"/>
    <col min="6915" max="6922" width="8.5" style="214" customWidth="1"/>
    <col min="6923" max="6923" width="11.6640625" style="214" customWidth="1"/>
    <col min="6924" max="6925" width="17.1640625" style="214" customWidth="1"/>
    <col min="6926" max="6926" width="16.33203125" style="214" customWidth="1"/>
    <col min="6927" max="6927" width="17" style="214" customWidth="1"/>
    <col min="6928" max="6928" width="13.6640625" style="214" customWidth="1"/>
    <col min="6929" max="6929" width="15.5" style="214" customWidth="1"/>
    <col min="6930" max="6930" width="13.6640625" style="214" customWidth="1"/>
    <col min="6931" max="7168" width="12.1640625" style="214"/>
    <col min="7169" max="7169" width="9.33203125" style="214" customWidth="1"/>
    <col min="7170" max="7170" width="20.33203125" style="214" customWidth="1"/>
    <col min="7171" max="7178" width="8.5" style="214" customWidth="1"/>
    <col min="7179" max="7179" width="11.6640625" style="214" customWidth="1"/>
    <col min="7180" max="7181" width="17.1640625" style="214" customWidth="1"/>
    <col min="7182" max="7182" width="16.33203125" style="214" customWidth="1"/>
    <col min="7183" max="7183" width="17" style="214" customWidth="1"/>
    <col min="7184" max="7184" width="13.6640625" style="214" customWidth="1"/>
    <col min="7185" max="7185" width="15.5" style="214" customWidth="1"/>
    <col min="7186" max="7186" width="13.6640625" style="214" customWidth="1"/>
    <col min="7187" max="7424" width="12.1640625" style="214"/>
    <col min="7425" max="7425" width="9.33203125" style="214" customWidth="1"/>
    <col min="7426" max="7426" width="20.33203125" style="214" customWidth="1"/>
    <col min="7427" max="7434" width="8.5" style="214" customWidth="1"/>
    <col min="7435" max="7435" width="11.6640625" style="214" customWidth="1"/>
    <col min="7436" max="7437" width="17.1640625" style="214" customWidth="1"/>
    <col min="7438" max="7438" width="16.33203125" style="214" customWidth="1"/>
    <col min="7439" max="7439" width="17" style="214" customWidth="1"/>
    <col min="7440" max="7440" width="13.6640625" style="214" customWidth="1"/>
    <col min="7441" max="7441" width="15.5" style="214" customWidth="1"/>
    <col min="7442" max="7442" width="13.6640625" style="214" customWidth="1"/>
    <col min="7443" max="7680" width="12.1640625" style="214"/>
    <col min="7681" max="7681" width="9.33203125" style="214" customWidth="1"/>
    <col min="7682" max="7682" width="20.33203125" style="214" customWidth="1"/>
    <col min="7683" max="7690" width="8.5" style="214" customWidth="1"/>
    <col min="7691" max="7691" width="11.6640625" style="214" customWidth="1"/>
    <col min="7692" max="7693" width="17.1640625" style="214" customWidth="1"/>
    <col min="7694" max="7694" width="16.33203125" style="214" customWidth="1"/>
    <col min="7695" max="7695" width="17" style="214" customWidth="1"/>
    <col min="7696" max="7696" width="13.6640625" style="214" customWidth="1"/>
    <col min="7697" max="7697" width="15.5" style="214" customWidth="1"/>
    <col min="7698" max="7698" width="13.6640625" style="214" customWidth="1"/>
    <col min="7699" max="7936" width="12.1640625" style="214"/>
    <col min="7937" max="7937" width="9.33203125" style="214" customWidth="1"/>
    <col min="7938" max="7938" width="20.33203125" style="214" customWidth="1"/>
    <col min="7939" max="7946" width="8.5" style="214" customWidth="1"/>
    <col min="7947" max="7947" width="11.6640625" style="214" customWidth="1"/>
    <col min="7948" max="7949" width="17.1640625" style="214" customWidth="1"/>
    <col min="7950" max="7950" width="16.33203125" style="214" customWidth="1"/>
    <col min="7951" max="7951" width="17" style="214" customWidth="1"/>
    <col min="7952" max="7952" width="13.6640625" style="214" customWidth="1"/>
    <col min="7953" max="7953" width="15.5" style="214" customWidth="1"/>
    <col min="7954" max="7954" width="13.6640625" style="214" customWidth="1"/>
    <col min="7955" max="8192" width="12.1640625" style="214"/>
    <col min="8193" max="8193" width="9.33203125" style="214" customWidth="1"/>
    <col min="8194" max="8194" width="20.33203125" style="214" customWidth="1"/>
    <col min="8195" max="8202" width="8.5" style="214" customWidth="1"/>
    <col min="8203" max="8203" width="11.6640625" style="214" customWidth="1"/>
    <col min="8204" max="8205" width="17.1640625" style="214" customWidth="1"/>
    <col min="8206" max="8206" width="16.33203125" style="214" customWidth="1"/>
    <col min="8207" max="8207" width="17" style="214" customWidth="1"/>
    <col min="8208" max="8208" width="13.6640625" style="214" customWidth="1"/>
    <col min="8209" max="8209" width="15.5" style="214" customWidth="1"/>
    <col min="8210" max="8210" width="13.6640625" style="214" customWidth="1"/>
    <col min="8211" max="8448" width="12.1640625" style="214"/>
    <col min="8449" max="8449" width="9.33203125" style="214" customWidth="1"/>
    <col min="8450" max="8450" width="20.33203125" style="214" customWidth="1"/>
    <col min="8451" max="8458" width="8.5" style="214" customWidth="1"/>
    <col min="8459" max="8459" width="11.6640625" style="214" customWidth="1"/>
    <col min="8460" max="8461" width="17.1640625" style="214" customWidth="1"/>
    <col min="8462" max="8462" width="16.33203125" style="214" customWidth="1"/>
    <col min="8463" max="8463" width="17" style="214" customWidth="1"/>
    <col min="8464" max="8464" width="13.6640625" style="214" customWidth="1"/>
    <col min="8465" max="8465" width="15.5" style="214" customWidth="1"/>
    <col min="8466" max="8466" width="13.6640625" style="214" customWidth="1"/>
    <col min="8467" max="8704" width="12.1640625" style="214"/>
    <col min="8705" max="8705" width="9.33203125" style="214" customWidth="1"/>
    <col min="8706" max="8706" width="20.33203125" style="214" customWidth="1"/>
    <col min="8707" max="8714" width="8.5" style="214" customWidth="1"/>
    <col min="8715" max="8715" width="11.6640625" style="214" customWidth="1"/>
    <col min="8716" max="8717" width="17.1640625" style="214" customWidth="1"/>
    <col min="8718" max="8718" width="16.33203125" style="214" customWidth="1"/>
    <col min="8719" max="8719" width="17" style="214" customWidth="1"/>
    <col min="8720" max="8720" width="13.6640625" style="214" customWidth="1"/>
    <col min="8721" max="8721" width="15.5" style="214" customWidth="1"/>
    <col min="8722" max="8722" width="13.6640625" style="214" customWidth="1"/>
    <col min="8723" max="8960" width="12.1640625" style="214"/>
    <col min="8961" max="8961" width="9.33203125" style="214" customWidth="1"/>
    <col min="8962" max="8962" width="20.33203125" style="214" customWidth="1"/>
    <col min="8963" max="8970" width="8.5" style="214" customWidth="1"/>
    <col min="8971" max="8971" width="11.6640625" style="214" customWidth="1"/>
    <col min="8972" max="8973" width="17.1640625" style="214" customWidth="1"/>
    <col min="8974" max="8974" width="16.33203125" style="214" customWidth="1"/>
    <col min="8975" max="8975" width="17" style="214" customWidth="1"/>
    <col min="8976" max="8976" width="13.6640625" style="214" customWidth="1"/>
    <col min="8977" max="8977" width="15.5" style="214" customWidth="1"/>
    <col min="8978" max="8978" width="13.6640625" style="214" customWidth="1"/>
    <col min="8979" max="9216" width="12.1640625" style="214"/>
    <col min="9217" max="9217" width="9.33203125" style="214" customWidth="1"/>
    <col min="9218" max="9218" width="20.33203125" style="214" customWidth="1"/>
    <col min="9219" max="9226" width="8.5" style="214" customWidth="1"/>
    <col min="9227" max="9227" width="11.6640625" style="214" customWidth="1"/>
    <col min="9228" max="9229" width="17.1640625" style="214" customWidth="1"/>
    <col min="9230" max="9230" width="16.33203125" style="214" customWidth="1"/>
    <col min="9231" max="9231" width="17" style="214" customWidth="1"/>
    <col min="9232" max="9232" width="13.6640625" style="214" customWidth="1"/>
    <col min="9233" max="9233" width="15.5" style="214" customWidth="1"/>
    <col min="9234" max="9234" width="13.6640625" style="214" customWidth="1"/>
    <col min="9235" max="9472" width="12.1640625" style="214"/>
    <col min="9473" max="9473" width="9.33203125" style="214" customWidth="1"/>
    <col min="9474" max="9474" width="20.33203125" style="214" customWidth="1"/>
    <col min="9475" max="9482" width="8.5" style="214" customWidth="1"/>
    <col min="9483" max="9483" width="11.6640625" style="214" customWidth="1"/>
    <col min="9484" max="9485" width="17.1640625" style="214" customWidth="1"/>
    <col min="9486" max="9486" width="16.33203125" style="214" customWidth="1"/>
    <col min="9487" max="9487" width="17" style="214" customWidth="1"/>
    <col min="9488" max="9488" width="13.6640625" style="214" customWidth="1"/>
    <col min="9489" max="9489" width="15.5" style="214" customWidth="1"/>
    <col min="9490" max="9490" width="13.6640625" style="214" customWidth="1"/>
    <col min="9491" max="9728" width="12.1640625" style="214"/>
    <col min="9729" max="9729" width="9.33203125" style="214" customWidth="1"/>
    <col min="9730" max="9730" width="20.33203125" style="214" customWidth="1"/>
    <col min="9731" max="9738" width="8.5" style="214" customWidth="1"/>
    <col min="9739" max="9739" width="11.6640625" style="214" customWidth="1"/>
    <col min="9740" max="9741" width="17.1640625" style="214" customWidth="1"/>
    <col min="9742" max="9742" width="16.33203125" style="214" customWidth="1"/>
    <col min="9743" max="9743" width="17" style="214" customWidth="1"/>
    <col min="9744" max="9744" width="13.6640625" style="214" customWidth="1"/>
    <col min="9745" max="9745" width="15.5" style="214" customWidth="1"/>
    <col min="9746" max="9746" width="13.6640625" style="214" customWidth="1"/>
    <col min="9747" max="9984" width="12.1640625" style="214"/>
    <col min="9985" max="9985" width="9.33203125" style="214" customWidth="1"/>
    <col min="9986" max="9986" width="20.33203125" style="214" customWidth="1"/>
    <col min="9987" max="9994" width="8.5" style="214" customWidth="1"/>
    <col min="9995" max="9995" width="11.6640625" style="214" customWidth="1"/>
    <col min="9996" max="9997" width="17.1640625" style="214" customWidth="1"/>
    <col min="9998" max="9998" width="16.33203125" style="214" customWidth="1"/>
    <col min="9999" max="9999" width="17" style="214" customWidth="1"/>
    <col min="10000" max="10000" width="13.6640625" style="214" customWidth="1"/>
    <col min="10001" max="10001" width="15.5" style="214" customWidth="1"/>
    <col min="10002" max="10002" width="13.6640625" style="214" customWidth="1"/>
    <col min="10003" max="10240" width="12.1640625" style="214"/>
    <col min="10241" max="10241" width="9.33203125" style="214" customWidth="1"/>
    <col min="10242" max="10242" width="20.33203125" style="214" customWidth="1"/>
    <col min="10243" max="10250" width="8.5" style="214" customWidth="1"/>
    <col min="10251" max="10251" width="11.6640625" style="214" customWidth="1"/>
    <col min="10252" max="10253" width="17.1640625" style="214" customWidth="1"/>
    <col min="10254" max="10254" width="16.33203125" style="214" customWidth="1"/>
    <col min="10255" max="10255" width="17" style="214" customWidth="1"/>
    <col min="10256" max="10256" width="13.6640625" style="214" customWidth="1"/>
    <col min="10257" max="10257" width="15.5" style="214" customWidth="1"/>
    <col min="10258" max="10258" width="13.6640625" style="214" customWidth="1"/>
    <col min="10259" max="10496" width="12.1640625" style="214"/>
    <col min="10497" max="10497" width="9.33203125" style="214" customWidth="1"/>
    <col min="10498" max="10498" width="20.33203125" style="214" customWidth="1"/>
    <col min="10499" max="10506" width="8.5" style="214" customWidth="1"/>
    <col min="10507" max="10507" width="11.6640625" style="214" customWidth="1"/>
    <col min="10508" max="10509" width="17.1640625" style="214" customWidth="1"/>
    <col min="10510" max="10510" width="16.33203125" style="214" customWidth="1"/>
    <col min="10511" max="10511" width="17" style="214" customWidth="1"/>
    <col min="10512" max="10512" width="13.6640625" style="214" customWidth="1"/>
    <col min="10513" max="10513" width="15.5" style="214" customWidth="1"/>
    <col min="10514" max="10514" width="13.6640625" style="214" customWidth="1"/>
    <col min="10515" max="10752" width="12.1640625" style="214"/>
    <col min="10753" max="10753" width="9.33203125" style="214" customWidth="1"/>
    <col min="10754" max="10754" width="20.33203125" style="214" customWidth="1"/>
    <col min="10755" max="10762" width="8.5" style="214" customWidth="1"/>
    <col min="10763" max="10763" width="11.6640625" style="214" customWidth="1"/>
    <col min="10764" max="10765" width="17.1640625" style="214" customWidth="1"/>
    <col min="10766" max="10766" width="16.33203125" style="214" customWidth="1"/>
    <col min="10767" max="10767" width="17" style="214" customWidth="1"/>
    <col min="10768" max="10768" width="13.6640625" style="214" customWidth="1"/>
    <col min="10769" max="10769" width="15.5" style="214" customWidth="1"/>
    <col min="10770" max="10770" width="13.6640625" style="214" customWidth="1"/>
    <col min="10771" max="11008" width="12.1640625" style="214"/>
    <col min="11009" max="11009" width="9.33203125" style="214" customWidth="1"/>
    <col min="11010" max="11010" width="20.33203125" style="214" customWidth="1"/>
    <col min="11011" max="11018" width="8.5" style="214" customWidth="1"/>
    <col min="11019" max="11019" width="11.6640625" style="214" customWidth="1"/>
    <col min="11020" max="11021" width="17.1640625" style="214" customWidth="1"/>
    <col min="11022" max="11022" width="16.33203125" style="214" customWidth="1"/>
    <col min="11023" max="11023" width="17" style="214" customWidth="1"/>
    <col min="11024" max="11024" width="13.6640625" style="214" customWidth="1"/>
    <col min="11025" max="11025" width="15.5" style="214" customWidth="1"/>
    <col min="11026" max="11026" width="13.6640625" style="214" customWidth="1"/>
    <col min="11027" max="11264" width="12.1640625" style="214"/>
    <col min="11265" max="11265" width="9.33203125" style="214" customWidth="1"/>
    <col min="11266" max="11266" width="20.33203125" style="214" customWidth="1"/>
    <col min="11267" max="11274" width="8.5" style="214" customWidth="1"/>
    <col min="11275" max="11275" width="11.6640625" style="214" customWidth="1"/>
    <col min="11276" max="11277" width="17.1640625" style="214" customWidth="1"/>
    <col min="11278" max="11278" width="16.33203125" style="214" customWidth="1"/>
    <col min="11279" max="11279" width="17" style="214" customWidth="1"/>
    <col min="11280" max="11280" width="13.6640625" style="214" customWidth="1"/>
    <col min="11281" max="11281" width="15.5" style="214" customWidth="1"/>
    <col min="11282" max="11282" width="13.6640625" style="214" customWidth="1"/>
    <col min="11283" max="11520" width="12.1640625" style="214"/>
    <col min="11521" max="11521" width="9.33203125" style="214" customWidth="1"/>
    <col min="11522" max="11522" width="20.33203125" style="214" customWidth="1"/>
    <col min="11523" max="11530" width="8.5" style="214" customWidth="1"/>
    <col min="11531" max="11531" width="11.6640625" style="214" customWidth="1"/>
    <col min="11532" max="11533" width="17.1640625" style="214" customWidth="1"/>
    <col min="11534" max="11534" width="16.33203125" style="214" customWidth="1"/>
    <col min="11535" max="11535" width="17" style="214" customWidth="1"/>
    <col min="11536" max="11536" width="13.6640625" style="214" customWidth="1"/>
    <col min="11537" max="11537" width="15.5" style="214" customWidth="1"/>
    <col min="11538" max="11538" width="13.6640625" style="214" customWidth="1"/>
    <col min="11539" max="11776" width="12.1640625" style="214"/>
    <col min="11777" max="11777" width="9.33203125" style="214" customWidth="1"/>
    <col min="11778" max="11778" width="20.33203125" style="214" customWidth="1"/>
    <col min="11779" max="11786" width="8.5" style="214" customWidth="1"/>
    <col min="11787" max="11787" width="11.6640625" style="214" customWidth="1"/>
    <col min="11788" max="11789" width="17.1640625" style="214" customWidth="1"/>
    <col min="11790" max="11790" width="16.33203125" style="214" customWidth="1"/>
    <col min="11791" max="11791" width="17" style="214" customWidth="1"/>
    <col min="11792" max="11792" width="13.6640625" style="214" customWidth="1"/>
    <col min="11793" max="11793" width="15.5" style="214" customWidth="1"/>
    <col min="11794" max="11794" width="13.6640625" style="214" customWidth="1"/>
    <col min="11795" max="12032" width="12.1640625" style="214"/>
    <col min="12033" max="12033" width="9.33203125" style="214" customWidth="1"/>
    <col min="12034" max="12034" width="20.33203125" style="214" customWidth="1"/>
    <col min="12035" max="12042" width="8.5" style="214" customWidth="1"/>
    <col min="12043" max="12043" width="11.6640625" style="214" customWidth="1"/>
    <col min="12044" max="12045" width="17.1640625" style="214" customWidth="1"/>
    <col min="12046" max="12046" width="16.33203125" style="214" customWidth="1"/>
    <col min="12047" max="12047" width="17" style="214" customWidth="1"/>
    <col min="12048" max="12048" width="13.6640625" style="214" customWidth="1"/>
    <col min="12049" max="12049" width="15.5" style="214" customWidth="1"/>
    <col min="12050" max="12050" width="13.6640625" style="214" customWidth="1"/>
    <col min="12051" max="12288" width="12.1640625" style="214"/>
    <col min="12289" max="12289" width="9.33203125" style="214" customWidth="1"/>
    <col min="12290" max="12290" width="20.33203125" style="214" customWidth="1"/>
    <col min="12291" max="12298" width="8.5" style="214" customWidth="1"/>
    <col min="12299" max="12299" width="11.6640625" style="214" customWidth="1"/>
    <col min="12300" max="12301" width="17.1640625" style="214" customWidth="1"/>
    <col min="12302" max="12302" width="16.33203125" style="214" customWidth="1"/>
    <col min="12303" max="12303" width="17" style="214" customWidth="1"/>
    <col min="12304" max="12304" width="13.6640625" style="214" customWidth="1"/>
    <col min="12305" max="12305" width="15.5" style="214" customWidth="1"/>
    <col min="12306" max="12306" width="13.6640625" style="214" customWidth="1"/>
    <col min="12307" max="12544" width="12.1640625" style="214"/>
    <col min="12545" max="12545" width="9.33203125" style="214" customWidth="1"/>
    <col min="12546" max="12546" width="20.33203125" style="214" customWidth="1"/>
    <col min="12547" max="12554" width="8.5" style="214" customWidth="1"/>
    <col min="12555" max="12555" width="11.6640625" style="214" customWidth="1"/>
    <col min="12556" max="12557" width="17.1640625" style="214" customWidth="1"/>
    <col min="12558" max="12558" width="16.33203125" style="214" customWidth="1"/>
    <col min="12559" max="12559" width="17" style="214" customWidth="1"/>
    <col min="12560" max="12560" width="13.6640625" style="214" customWidth="1"/>
    <col min="12561" max="12561" width="15.5" style="214" customWidth="1"/>
    <col min="12562" max="12562" width="13.6640625" style="214" customWidth="1"/>
    <col min="12563" max="12800" width="12.1640625" style="214"/>
    <col min="12801" max="12801" width="9.33203125" style="214" customWidth="1"/>
    <col min="12802" max="12802" width="20.33203125" style="214" customWidth="1"/>
    <col min="12803" max="12810" width="8.5" style="214" customWidth="1"/>
    <col min="12811" max="12811" width="11.6640625" style="214" customWidth="1"/>
    <col min="12812" max="12813" width="17.1640625" style="214" customWidth="1"/>
    <col min="12814" max="12814" width="16.33203125" style="214" customWidth="1"/>
    <col min="12815" max="12815" width="17" style="214" customWidth="1"/>
    <col min="12816" max="12816" width="13.6640625" style="214" customWidth="1"/>
    <col min="12817" max="12817" width="15.5" style="214" customWidth="1"/>
    <col min="12818" max="12818" width="13.6640625" style="214" customWidth="1"/>
    <col min="12819" max="13056" width="12.1640625" style="214"/>
    <col min="13057" max="13057" width="9.33203125" style="214" customWidth="1"/>
    <col min="13058" max="13058" width="20.33203125" style="214" customWidth="1"/>
    <col min="13059" max="13066" width="8.5" style="214" customWidth="1"/>
    <col min="13067" max="13067" width="11.6640625" style="214" customWidth="1"/>
    <col min="13068" max="13069" width="17.1640625" style="214" customWidth="1"/>
    <col min="13070" max="13070" width="16.33203125" style="214" customWidth="1"/>
    <col min="13071" max="13071" width="17" style="214" customWidth="1"/>
    <col min="13072" max="13072" width="13.6640625" style="214" customWidth="1"/>
    <col min="13073" max="13073" width="15.5" style="214" customWidth="1"/>
    <col min="13074" max="13074" width="13.6640625" style="214" customWidth="1"/>
    <col min="13075" max="13312" width="12.1640625" style="214"/>
    <col min="13313" max="13313" width="9.33203125" style="214" customWidth="1"/>
    <col min="13314" max="13314" width="20.33203125" style="214" customWidth="1"/>
    <col min="13315" max="13322" width="8.5" style="214" customWidth="1"/>
    <col min="13323" max="13323" width="11.6640625" style="214" customWidth="1"/>
    <col min="13324" max="13325" width="17.1640625" style="214" customWidth="1"/>
    <col min="13326" max="13326" width="16.33203125" style="214" customWidth="1"/>
    <col min="13327" max="13327" width="17" style="214" customWidth="1"/>
    <col min="13328" max="13328" width="13.6640625" style="214" customWidth="1"/>
    <col min="13329" max="13329" width="15.5" style="214" customWidth="1"/>
    <col min="13330" max="13330" width="13.6640625" style="214" customWidth="1"/>
    <col min="13331" max="13568" width="12.1640625" style="214"/>
    <col min="13569" max="13569" width="9.33203125" style="214" customWidth="1"/>
    <col min="13570" max="13570" width="20.33203125" style="214" customWidth="1"/>
    <col min="13571" max="13578" width="8.5" style="214" customWidth="1"/>
    <col min="13579" max="13579" width="11.6640625" style="214" customWidth="1"/>
    <col min="13580" max="13581" width="17.1640625" style="214" customWidth="1"/>
    <col min="13582" max="13582" width="16.33203125" style="214" customWidth="1"/>
    <col min="13583" max="13583" width="17" style="214" customWidth="1"/>
    <col min="13584" max="13584" width="13.6640625" style="214" customWidth="1"/>
    <col min="13585" max="13585" width="15.5" style="214" customWidth="1"/>
    <col min="13586" max="13586" width="13.6640625" style="214" customWidth="1"/>
    <col min="13587" max="13824" width="12.1640625" style="214"/>
    <col min="13825" max="13825" width="9.33203125" style="214" customWidth="1"/>
    <col min="13826" max="13826" width="20.33203125" style="214" customWidth="1"/>
    <col min="13827" max="13834" width="8.5" style="214" customWidth="1"/>
    <col min="13835" max="13835" width="11.6640625" style="214" customWidth="1"/>
    <col min="13836" max="13837" width="17.1640625" style="214" customWidth="1"/>
    <col min="13838" max="13838" width="16.33203125" style="214" customWidth="1"/>
    <col min="13839" max="13839" width="17" style="214" customWidth="1"/>
    <col min="13840" max="13840" width="13.6640625" style="214" customWidth="1"/>
    <col min="13841" max="13841" width="15.5" style="214" customWidth="1"/>
    <col min="13842" max="13842" width="13.6640625" style="214" customWidth="1"/>
    <col min="13843" max="14080" width="12.1640625" style="214"/>
    <col min="14081" max="14081" width="9.33203125" style="214" customWidth="1"/>
    <col min="14082" max="14082" width="20.33203125" style="214" customWidth="1"/>
    <col min="14083" max="14090" width="8.5" style="214" customWidth="1"/>
    <col min="14091" max="14091" width="11.6640625" style="214" customWidth="1"/>
    <col min="14092" max="14093" width="17.1640625" style="214" customWidth="1"/>
    <col min="14094" max="14094" width="16.33203125" style="214" customWidth="1"/>
    <col min="14095" max="14095" width="17" style="214" customWidth="1"/>
    <col min="14096" max="14096" width="13.6640625" style="214" customWidth="1"/>
    <col min="14097" max="14097" width="15.5" style="214" customWidth="1"/>
    <col min="14098" max="14098" width="13.6640625" style="214" customWidth="1"/>
    <col min="14099" max="14336" width="12.1640625" style="214"/>
    <col min="14337" max="14337" width="9.33203125" style="214" customWidth="1"/>
    <col min="14338" max="14338" width="20.33203125" style="214" customWidth="1"/>
    <col min="14339" max="14346" width="8.5" style="214" customWidth="1"/>
    <col min="14347" max="14347" width="11.6640625" style="214" customWidth="1"/>
    <col min="14348" max="14349" width="17.1640625" style="214" customWidth="1"/>
    <col min="14350" max="14350" width="16.33203125" style="214" customWidth="1"/>
    <col min="14351" max="14351" width="17" style="214" customWidth="1"/>
    <col min="14352" max="14352" width="13.6640625" style="214" customWidth="1"/>
    <col min="14353" max="14353" width="15.5" style="214" customWidth="1"/>
    <col min="14354" max="14354" width="13.6640625" style="214" customWidth="1"/>
    <col min="14355" max="14592" width="12.1640625" style="214"/>
    <col min="14593" max="14593" width="9.33203125" style="214" customWidth="1"/>
    <col min="14594" max="14594" width="20.33203125" style="214" customWidth="1"/>
    <col min="14595" max="14602" width="8.5" style="214" customWidth="1"/>
    <col min="14603" max="14603" width="11.6640625" style="214" customWidth="1"/>
    <col min="14604" max="14605" width="17.1640625" style="214" customWidth="1"/>
    <col min="14606" max="14606" width="16.33203125" style="214" customWidth="1"/>
    <col min="14607" max="14607" width="17" style="214" customWidth="1"/>
    <col min="14608" max="14608" width="13.6640625" style="214" customWidth="1"/>
    <col min="14609" max="14609" width="15.5" style="214" customWidth="1"/>
    <col min="14610" max="14610" width="13.6640625" style="214" customWidth="1"/>
    <col min="14611" max="14848" width="12.1640625" style="214"/>
    <col min="14849" max="14849" width="9.33203125" style="214" customWidth="1"/>
    <col min="14850" max="14850" width="20.33203125" style="214" customWidth="1"/>
    <col min="14851" max="14858" width="8.5" style="214" customWidth="1"/>
    <col min="14859" max="14859" width="11.6640625" style="214" customWidth="1"/>
    <col min="14860" max="14861" width="17.1640625" style="214" customWidth="1"/>
    <col min="14862" max="14862" width="16.33203125" style="214" customWidth="1"/>
    <col min="14863" max="14863" width="17" style="214" customWidth="1"/>
    <col min="14864" max="14864" width="13.6640625" style="214" customWidth="1"/>
    <col min="14865" max="14865" width="15.5" style="214" customWidth="1"/>
    <col min="14866" max="14866" width="13.6640625" style="214" customWidth="1"/>
    <col min="14867" max="15104" width="12.1640625" style="214"/>
    <col min="15105" max="15105" width="9.33203125" style="214" customWidth="1"/>
    <col min="15106" max="15106" width="20.33203125" style="214" customWidth="1"/>
    <col min="15107" max="15114" width="8.5" style="214" customWidth="1"/>
    <col min="15115" max="15115" width="11.6640625" style="214" customWidth="1"/>
    <col min="15116" max="15117" width="17.1640625" style="214" customWidth="1"/>
    <col min="15118" max="15118" width="16.33203125" style="214" customWidth="1"/>
    <col min="15119" max="15119" width="17" style="214" customWidth="1"/>
    <col min="15120" max="15120" width="13.6640625" style="214" customWidth="1"/>
    <col min="15121" max="15121" width="15.5" style="214" customWidth="1"/>
    <col min="15122" max="15122" width="13.6640625" style="214" customWidth="1"/>
    <col min="15123" max="15360" width="12.1640625" style="214"/>
    <col min="15361" max="15361" width="9.33203125" style="214" customWidth="1"/>
    <col min="15362" max="15362" width="20.33203125" style="214" customWidth="1"/>
    <col min="15363" max="15370" width="8.5" style="214" customWidth="1"/>
    <col min="15371" max="15371" width="11.6640625" style="214" customWidth="1"/>
    <col min="15372" max="15373" width="17.1640625" style="214" customWidth="1"/>
    <col min="15374" max="15374" width="16.33203125" style="214" customWidth="1"/>
    <col min="15375" max="15375" width="17" style="214" customWidth="1"/>
    <col min="15376" max="15376" width="13.6640625" style="214" customWidth="1"/>
    <col min="15377" max="15377" width="15.5" style="214" customWidth="1"/>
    <col min="15378" max="15378" width="13.6640625" style="214" customWidth="1"/>
    <col min="15379" max="15616" width="12.1640625" style="214"/>
    <col min="15617" max="15617" width="9.33203125" style="214" customWidth="1"/>
    <col min="15618" max="15618" width="20.33203125" style="214" customWidth="1"/>
    <col min="15619" max="15626" width="8.5" style="214" customWidth="1"/>
    <col min="15627" max="15627" width="11.6640625" style="214" customWidth="1"/>
    <col min="15628" max="15629" width="17.1640625" style="214" customWidth="1"/>
    <col min="15630" max="15630" width="16.33203125" style="214" customWidth="1"/>
    <col min="15631" max="15631" width="17" style="214" customWidth="1"/>
    <col min="15632" max="15632" width="13.6640625" style="214" customWidth="1"/>
    <col min="15633" max="15633" width="15.5" style="214" customWidth="1"/>
    <col min="15634" max="15634" width="13.6640625" style="214" customWidth="1"/>
    <col min="15635" max="15872" width="12.1640625" style="214"/>
    <col min="15873" max="15873" width="9.33203125" style="214" customWidth="1"/>
    <col min="15874" max="15874" width="20.33203125" style="214" customWidth="1"/>
    <col min="15875" max="15882" width="8.5" style="214" customWidth="1"/>
    <col min="15883" max="15883" width="11.6640625" style="214" customWidth="1"/>
    <col min="15884" max="15885" width="17.1640625" style="214" customWidth="1"/>
    <col min="15886" max="15886" width="16.33203125" style="214" customWidth="1"/>
    <col min="15887" max="15887" width="17" style="214" customWidth="1"/>
    <col min="15888" max="15888" width="13.6640625" style="214" customWidth="1"/>
    <col min="15889" max="15889" width="15.5" style="214" customWidth="1"/>
    <col min="15890" max="15890" width="13.6640625" style="214" customWidth="1"/>
    <col min="15891" max="16128" width="12.1640625" style="214"/>
    <col min="16129" max="16129" width="9.33203125" style="214" customWidth="1"/>
    <col min="16130" max="16130" width="20.33203125" style="214" customWidth="1"/>
    <col min="16131" max="16138" width="8.5" style="214" customWidth="1"/>
    <col min="16139" max="16139" width="11.6640625" style="214" customWidth="1"/>
    <col min="16140" max="16141" width="17.1640625" style="214" customWidth="1"/>
    <col min="16142" max="16142" width="16.33203125" style="214" customWidth="1"/>
    <col min="16143" max="16143" width="17" style="214" customWidth="1"/>
    <col min="16144" max="16144" width="13.6640625" style="214" customWidth="1"/>
    <col min="16145" max="16145" width="15.5" style="214" customWidth="1"/>
    <col min="16146" max="16146" width="13.6640625" style="214" customWidth="1"/>
    <col min="16147" max="16384" width="12.1640625" style="214"/>
  </cols>
  <sheetData>
    <row r="1" spans="1:18">
      <c r="A1" s="226" t="s">
        <v>218</v>
      </c>
    </row>
    <row r="3" spans="1:18">
      <c r="A3" s="227" t="s">
        <v>386</v>
      </c>
      <c r="B3" s="227"/>
      <c r="C3" s="227"/>
      <c r="D3" s="227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18">
      <c r="A4" s="227"/>
      <c r="B4" s="227"/>
      <c r="C4" s="227"/>
      <c r="D4" s="227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8">
      <c r="A5" s="196" t="s">
        <v>240</v>
      </c>
      <c r="B5" s="230"/>
      <c r="C5" s="198" t="s">
        <v>184</v>
      </c>
      <c r="D5" s="231"/>
      <c r="E5" s="231"/>
      <c r="F5" s="231"/>
      <c r="G5" s="231"/>
      <c r="H5" s="231"/>
      <c r="I5" s="231"/>
      <c r="J5" s="231"/>
      <c r="K5" s="200" t="s">
        <v>179</v>
      </c>
      <c r="L5" s="173" t="s">
        <v>180</v>
      </c>
      <c r="M5" s="173" t="s">
        <v>180</v>
      </c>
      <c r="N5" s="174" t="s">
        <v>181</v>
      </c>
      <c r="O5" s="175"/>
      <c r="P5" s="173" t="s">
        <v>182</v>
      </c>
      <c r="Q5" s="176" t="s">
        <v>183</v>
      </c>
      <c r="R5" s="176"/>
    </row>
    <row r="6" spans="1:18">
      <c r="A6" s="232"/>
      <c r="B6" s="233"/>
      <c r="C6" s="234"/>
      <c r="D6" s="235"/>
      <c r="E6" s="235"/>
      <c r="F6" s="235"/>
      <c r="G6" s="235"/>
      <c r="H6" s="235"/>
      <c r="I6" s="235"/>
      <c r="J6" s="235"/>
      <c r="K6" s="201" t="s">
        <v>185</v>
      </c>
      <c r="L6" s="177" t="s">
        <v>186</v>
      </c>
      <c r="M6" s="177" t="s">
        <v>186</v>
      </c>
      <c r="N6" s="177" t="s">
        <v>187</v>
      </c>
      <c r="O6" s="177" t="s">
        <v>188</v>
      </c>
      <c r="P6" s="177" t="s">
        <v>189</v>
      </c>
      <c r="Q6" s="177" t="s">
        <v>187</v>
      </c>
      <c r="R6" s="177" t="s">
        <v>188</v>
      </c>
    </row>
    <row r="7" spans="1:18">
      <c r="A7" s="232"/>
      <c r="B7" s="233"/>
      <c r="C7" s="177" t="s">
        <v>190</v>
      </c>
      <c r="D7" s="177" t="s">
        <v>191</v>
      </c>
      <c r="E7" s="177" t="s">
        <v>192</v>
      </c>
      <c r="F7" s="177" t="s">
        <v>193</v>
      </c>
      <c r="G7" s="177" t="s">
        <v>194</v>
      </c>
      <c r="H7" s="177" t="s">
        <v>195</v>
      </c>
      <c r="I7" s="177" t="s">
        <v>196</v>
      </c>
      <c r="J7" s="199" t="s">
        <v>197</v>
      </c>
      <c r="K7" s="201" t="s">
        <v>198</v>
      </c>
      <c r="L7" s="177" t="s">
        <v>199</v>
      </c>
      <c r="M7" s="177" t="s">
        <v>199</v>
      </c>
      <c r="N7" s="177" t="s">
        <v>200</v>
      </c>
      <c r="O7" s="177" t="s">
        <v>200</v>
      </c>
      <c r="P7" s="177" t="s">
        <v>201</v>
      </c>
      <c r="Q7" s="177" t="s">
        <v>200</v>
      </c>
      <c r="R7" s="177" t="s">
        <v>200</v>
      </c>
    </row>
    <row r="8" spans="1:18">
      <c r="A8" s="236"/>
      <c r="B8" s="237"/>
      <c r="C8" s="177"/>
      <c r="D8" s="177"/>
      <c r="E8" s="177"/>
      <c r="F8" s="177"/>
      <c r="G8" s="177"/>
      <c r="H8" s="177"/>
      <c r="I8" s="177"/>
      <c r="J8" s="199"/>
      <c r="K8" s="202"/>
      <c r="L8" s="177" t="s">
        <v>202</v>
      </c>
      <c r="M8" s="177" t="s">
        <v>203</v>
      </c>
      <c r="N8" s="177" t="s">
        <v>204</v>
      </c>
      <c r="O8" s="177" t="s">
        <v>205</v>
      </c>
      <c r="P8" s="178"/>
      <c r="Q8" s="177" t="s">
        <v>204</v>
      </c>
      <c r="R8" s="177" t="s">
        <v>205</v>
      </c>
    </row>
    <row r="9" spans="1:18">
      <c r="A9" s="326" t="s">
        <v>206</v>
      </c>
      <c r="B9" s="325"/>
      <c r="C9" s="180"/>
      <c r="D9" s="180"/>
      <c r="E9" s="180"/>
      <c r="F9" s="180"/>
      <c r="G9" s="180"/>
      <c r="H9" s="180"/>
      <c r="I9" s="180"/>
      <c r="J9" s="180"/>
      <c r="K9" s="197"/>
      <c r="L9" s="180"/>
      <c r="M9" s="180"/>
      <c r="N9" s="180"/>
      <c r="O9" s="180"/>
      <c r="P9" s="179"/>
      <c r="Q9" s="180"/>
      <c r="R9" s="181"/>
    </row>
    <row r="10" spans="1:18">
      <c r="A10" s="182"/>
      <c r="B10" s="238"/>
      <c r="C10" s="239">
        <v>4.9000000000000004</v>
      </c>
      <c r="D10" s="239">
        <v>0.7</v>
      </c>
      <c r="E10" s="240">
        <v>0.45</v>
      </c>
      <c r="F10" s="239">
        <v>0.4</v>
      </c>
      <c r="G10" s="183">
        <f>+'[1]Input Page'!F27</f>
        <v>10</v>
      </c>
      <c r="H10" s="183">
        <f>+'[1]Input Page'!F28</f>
        <v>0.2</v>
      </c>
      <c r="I10" s="183">
        <v>40</v>
      </c>
      <c r="J10" s="183">
        <f>+'[1]Input Page'!F29</f>
        <v>235</v>
      </c>
      <c r="K10" s="241">
        <f>C10*(G10/12)^D10*(I10/3)^E10/(H10/0.2)^F10*((365-J10)/365)</f>
        <v>4.9276757997785063</v>
      </c>
      <c r="L10" s="184"/>
      <c r="M10" s="184"/>
      <c r="N10" s="242">
        <f t="shared" ref="N10:N15" si="0">K10*L10/2000</f>
        <v>0</v>
      </c>
      <c r="O10" s="242">
        <f t="shared" ref="O10:O15" si="1">K10*M10</f>
        <v>0</v>
      </c>
      <c r="P10" s="185">
        <v>0.9</v>
      </c>
      <c r="Q10" s="242">
        <f t="shared" ref="Q10:Q15" si="2">N10*(1-P10)</f>
        <v>0</v>
      </c>
      <c r="R10" s="242">
        <f>O10*(1-P10)</f>
        <v>0</v>
      </c>
    </row>
    <row r="11" spans="1:18">
      <c r="A11" s="182"/>
      <c r="B11" s="238"/>
      <c r="C11" s="243">
        <v>4.9000000000000004</v>
      </c>
      <c r="D11" s="243">
        <v>0.7</v>
      </c>
      <c r="E11" s="244">
        <v>0.45</v>
      </c>
      <c r="F11" s="243">
        <v>0.4</v>
      </c>
      <c r="G11" s="186">
        <f t="shared" ref="G11:H15" si="3">+G10</f>
        <v>10</v>
      </c>
      <c r="H11" s="186">
        <f t="shared" si="3"/>
        <v>0.2</v>
      </c>
      <c r="I11" s="186">
        <v>40</v>
      </c>
      <c r="J11" s="186">
        <f t="shared" ref="J11:J15" si="4">+J10</f>
        <v>235</v>
      </c>
      <c r="K11" s="245">
        <f>C11*(G11/12)^D11*(I11/3)^E11/(H11/0.2)^F11*((365-J11)/365)</f>
        <v>4.9276757997785063</v>
      </c>
      <c r="L11" s="187"/>
      <c r="M11" s="187"/>
      <c r="N11" s="246">
        <f t="shared" si="0"/>
        <v>0</v>
      </c>
      <c r="O11" s="246">
        <f t="shared" si="1"/>
        <v>0</v>
      </c>
      <c r="P11" s="188">
        <v>0.9</v>
      </c>
      <c r="Q11" s="246">
        <f t="shared" si="2"/>
        <v>0</v>
      </c>
      <c r="R11" s="246">
        <f>O11*(1-P11)</f>
        <v>0</v>
      </c>
    </row>
    <row r="12" spans="1:18">
      <c r="A12" s="182"/>
      <c r="B12" s="238"/>
      <c r="C12" s="243">
        <v>4.9000000000000004</v>
      </c>
      <c r="D12" s="243">
        <v>0.7</v>
      </c>
      <c r="E12" s="244">
        <v>0.45</v>
      </c>
      <c r="F12" s="243">
        <v>0.4</v>
      </c>
      <c r="G12" s="186">
        <f t="shared" si="3"/>
        <v>10</v>
      </c>
      <c r="H12" s="186">
        <f t="shared" si="3"/>
        <v>0.2</v>
      </c>
      <c r="I12" s="186">
        <v>35</v>
      </c>
      <c r="J12" s="186">
        <f t="shared" si="4"/>
        <v>235</v>
      </c>
      <c r="K12" s="245">
        <f>C12*(G12/12)^D12*(I12/3)^E12/(H12/0.2)^F12*((365-J12)/365)</f>
        <v>4.6402967085573454</v>
      </c>
      <c r="L12" s="187"/>
      <c r="M12" s="187"/>
      <c r="N12" s="246">
        <f t="shared" si="0"/>
        <v>0</v>
      </c>
      <c r="O12" s="246">
        <f t="shared" si="1"/>
        <v>0</v>
      </c>
      <c r="P12" s="188">
        <v>0.9</v>
      </c>
      <c r="Q12" s="246">
        <f t="shared" si="2"/>
        <v>0</v>
      </c>
      <c r="R12" s="246">
        <f>O12*(1-P12)</f>
        <v>0</v>
      </c>
    </row>
    <row r="13" spans="1:18">
      <c r="A13" s="182"/>
      <c r="B13" s="238"/>
      <c r="C13" s="243">
        <v>4.9000000000000004</v>
      </c>
      <c r="D13" s="243">
        <v>0.7</v>
      </c>
      <c r="E13" s="244">
        <v>0.45</v>
      </c>
      <c r="F13" s="243">
        <v>0.4</v>
      </c>
      <c r="G13" s="186">
        <f t="shared" si="3"/>
        <v>10</v>
      </c>
      <c r="H13" s="186">
        <f t="shared" si="3"/>
        <v>0.2</v>
      </c>
      <c r="I13" s="186">
        <v>40</v>
      </c>
      <c r="J13" s="186">
        <f t="shared" si="4"/>
        <v>235</v>
      </c>
      <c r="K13" s="245">
        <f>C13*(G13/12)^D13*(I13/3)^E13/(H13/0.2)^F13*((365-J13)/365)</f>
        <v>4.9276757997785063</v>
      </c>
      <c r="L13" s="187"/>
      <c r="M13" s="187"/>
      <c r="N13" s="246">
        <f t="shared" si="0"/>
        <v>0</v>
      </c>
      <c r="O13" s="246">
        <f t="shared" si="1"/>
        <v>0</v>
      </c>
      <c r="P13" s="188">
        <v>0.9</v>
      </c>
      <c r="Q13" s="246">
        <f t="shared" si="2"/>
        <v>0</v>
      </c>
      <c r="R13" s="246">
        <f>O13*(1-P13)</f>
        <v>0</v>
      </c>
    </row>
    <row r="14" spans="1:18">
      <c r="A14" s="182"/>
      <c r="B14" s="238"/>
      <c r="C14" s="243">
        <v>4.9000000000000004</v>
      </c>
      <c r="D14" s="243">
        <v>0.7</v>
      </c>
      <c r="E14" s="244">
        <v>0.45</v>
      </c>
      <c r="F14" s="243">
        <v>0.4</v>
      </c>
      <c r="G14" s="186">
        <f t="shared" si="3"/>
        <v>10</v>
      </c>
      <c r="H14" s="186">
        <f t="shared" si="3"/>
        <v>0.2</v>
      </c>
      <c r="I14" s="186">
        <v>20</v>
      </c>
      <c r="J14" s="186">
        <f t="shared" si="4"/>
        <v>235</v>
      </c>
      <c r="K14" s="245">
        <f>C14*(G14/12)^D14*(I14/3)^E14/(H14/0.2)^F14*((365-J14)/365)</f>
        <v>3.6072698263565659</v>
      </c>
      <c r="L14" s="187"/>
      <c r="M14" s="187"/>
      <c r="N14" s="246">
        <f t="shared" si="0"/>
        <v>0</v>
      </c>
      <c r="O14" s="246">
        <f t="shared" si="1"/>
        <v>0</v>
      </c>
      <c r="P14" s="188">
        <v>0.9</v>
      </c>
      <c r="Q14" s="246">
        <f t="shared" si="2"/>
        <v>0</v>
      </c>
      <c r="R14" s="246">
        <f>O14*(1-P14)</f>
        <v>0</v>
      </c>
    </row>
    <row r="15" spans="1:18">
      <c r="A15" s="216"/>
      <c r="B15" s="247"/>
      <c r="C15" s="248">
        <v>4.9000000000000004</v>
      </c>
      <c r="D15" s="248">
        <v>0.7</v>
      </c>
      <c r="E15" s="249">
        <v>0.45</v>
      </c>
      <c r="F15" s="248">
        <v>0.4</v>
      </c>
      <c r="G15" s="217">
        <f t="shared" si="3"/>
        <v>10</v>
      </c>
      <c r="H15" s="217">
        <f t="shared" si="3"/>
        <v>0.2</v>
      </c>
      <c r="I15" s="217">
        <v>15</v>
      </c>
      <c r="J15" s="217">
        <f t="shared" si="4"/>
        <v>235</v>
      </c>
      <c r="K15" s="250">
        <f>C15*(G15/12)^D15*(I15/3)^E15/(H15/0.2)^F15*((365-J15)/365)</f>
        <v>3.1692478005176512</v>
      </c>
      <c r="L15" s="218"/>
      <c r="M15" s="218"/>
      <c r="N15" s="246">
        <f t="shared" si="0"/>
        <v>0</v>
      </c>
      <c r="O15" s="246">
        <f t="shared" si="1"/>
        <v>0</v>
      </c>
      <c r="P15" s="188">
        <v>0.9</v>
      </c>
      <c r="Q15" s="246">
        <f t="shared" si="2"/>
        <v>0</v>
      </c>
      <c r="R15" s="246">
        <f>O15*(1-P15)</f>
        <v>0</v>
      </c>
    </row>
    <row r="16" spans="1:18">
      <c r="A16" s="219" t="s">
        <v>207</v>
      </c>
      <c r="B16" s="220"/>
      <c r="C16" s="221"/>
      <c r="D16" s="221"/>
      <c r="E16" s="222"/>
      <c r="F16" s="221"/>
      <c r="G16" s="221"/>
      <c r="H16" s="221"/>
      <c r="I16" s="221"/>
      <c r="J16" s="221"/>
      <c r="K16" s="223"/>
      <c r="L16" s="224"/>
      <c r="M16" s="225"/>
      <c r="N16" s="251">
        <f>SUM(N10:N15)</f>
        <v>0</v>
      </c>
      <c r="O16" s="192" t="s">
        <v>208</v>
      </c>
      <c r="P16" s="188">
        <v>0.9</v>
      </c>
      <c r="Q16" s="251">
        <f>SUM(Q10:Q15)</f>
        <v>0</v>
      </c>
      <c r="R16" s="192" t="s">
        <v>208</v>
      </c>
    </row>
    <row r="17" spans="1:18">
      <c r="A17" s="252"/>
      <c r="B17" s="253"/>
      <c r="C17" s="254"/>
      <c r="D17" s="254"/>
      <c r="E17" s="254"/>
      <c r="F17" s="254"/>
      <c r="G17" s="254"/>
      <c r="H17" s="254"/>
      <c r="I17" s="254"/>
      <c r="J17" s="254"/>
      <c r="K17" s="255"/>
      <c r="L17" s="255"/>
      <c r="M17" s="255"/>
      <c r="N17" s="255"/>
      <c r="O17" s="255"/>
      <c r="P17" s="256"/>
      <c r="Q17" s="257"/>
    </row>
    <row r="18" spans="1:18" ht="18">
      <c r="A18" s="227" t="s">
        <v>387</v>
      </c>
      <c r="B18" s="227"/>
      <c r="C18" s="227"/>
      <c r="D18" s="227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</row>
    <row r="19" spans="1:18">
      <c r="A19" s="252"/>
      <c r="B19" s="253"/>
      <c r="C19" s="254"/>
      <c r="D19" s="254"/>
      <c r="E19" s="254"/>
      <c r="F19" s="254"/>
      <c r="G19" s="254"/>
      <c r="H19" s="254"/>
      <c r="I19" s="254"/>
      <c r="J19" s="254"/>
      <c r="K19" s="255"/>
      <c r="L19" s="255"/>
      <c r="M19" s="255"/>
      <c r="N19" s="255"/>
      <c r="O19" s="255"/>
      <c r="P19" s="256"/>
      <c r="Q19" s="257"/>
    </row>
    <row r="20" spans="1:18">
      <c r="A20" s="196" t="s">
        <v>240</v>
      </c>
      <c r="B20" s="230"/>
      <c r="C20" s="198" t="s">
        <v>184</v>
      </c>
      <c r="D20" s="231"/>
      <c r="E20" s="231"/>
      <c r="F20" s="231"/>
      <c r="G20" s="231"/>
      <c r="H20" s="231"/>
      <c r="I20" s="231"/>
      <c r="J20" s="231"/>
      <c r="K20" s="200" t="s">
        <v>179</v>
      </c>
      <c r="L20" s="173" t="s">
        <v>180</v>
      </c>
      <c r="M20" s="173" t="s">
        <v>180</v>
      </c>
      <c r="N20" s="176" t="s">
        <v>181</v>
      </c>
      <c r="O20" s="172"/>
      <c r="P20" s="173" t="s">
        <v>182</v>
      </c>
      <c r="Q20" s="176" t="s">
        <v>183</v>
      </c>
      <c r="R20" s="176"/>
    </row>
    <row r="21" spans="1:18">
      <c r="A21" s="232"/>
      <c r="B21" s="233"/>
      <c r="C21" s="234"/>
      <c r="D21" s="235"/>
      <c r="E21" s="235"/>
      <c r="F21" s="235"/>
      <c r="G21" s="235"/>
      <c r="H21" s="235"/>
      <c r="I21" s="235"/>
      <c r="J21" s="235"/>
      <c r="K21" s="201" t="s">
        <v>185</v>
      </c>
      <c r="L21" s="177" t="s">
        <v>186</v>
      </c>
      <c r="M21" s="177" t="s">
        <v>186</v>
      </c>
      <c r="N21" s="177" t="s">
        <v>187</v>
      </c>
      <c r="O21" s="177" t="s">
        <v>188</v>
      </c>
      <c r="P21" s="177" t="s">
        <v>189</v>
      </c>
      <c r="Q21" s="177" t="s">
        <v>187</v>
      </c>
      <c r="R21" s="177" t="s">
        <v>188</v>
      </c>
    </row>
    <row r="22" spans="1:18">
      <c r="A22" s="232"/>
      <c r="B22" s="233"/>
      <c r="C22" s="177" t="s">
        <v>190</v>
      </c>
      <c r="D22" s="177" t="s">
        <v>191</v>
      </c>
      <c r="E22" s="177" t="s">
        <v>192</v>
      </c>
      <c r="F22" s="177" t="s">
        <v>193</v>
      </c>
      <c r="G22" s="177" t="s">
        <v>194</v>
      </c>
      <c r="H22" s="177" t="s">
        <v>195</v>
      </c>
      <c r="I22" s="177" t="s">
        <v>196</v>
      </c>
      <c r="J22" s="199" t="s">
        <v>197</v>
      </c>
      <c r="K22" s="201" t="s">
        <v>198</v>
      </c>
      <c r="L22" s="177" t="s">
        <v>199</v>
      </c>
      <c r="M22" s="177" t="s">
        <v>199</v>
      </c>
      <c r="N22" s="177" t="s">
        <v>200</v>
      </c>
      <c r="O22" s="177" t="s">
        <v>200</v>
      </c>
      <c r="P22" s="177" t="s">
        <v>201</v>
      </c>
      <c r="Q22" s="177" t="s">
        <v>200</v>
      </c>
      <c r="R22" s="177" t="s">
        <v>200</v>
      </c>
    </row>
    <row r="23" spans="1:18">
      <c r="A23" s="236"/>
      <c r="B23" s="237"/>
      <c r="C23" s="177"/>
      <c r="D23" s="177"/>
      <c r="E23" s="177"/>
      <c r="F23" s="177"/>
      <c r="G23" s="177"/>
      <c r="H23" s="177"/>
      <c r="I23" s="177"/>
      <c r="J23" s="199"/>
      <c r="K23" s="202"/>
      <c r="L23" s="177" t="s">
        <v>202</v>
      </c>
      <c r="M23" s="177" t="s">
        <v>203</v>
      </c>
      <c r="N23" s="177" t="s">
        <v>204</v>
      </c>
      <c r="O23" s="177" t="s">
        <v>205</v>
      </c>
      <c r="P23" s="178"/>
      <c r="Q23" s="177" t="s">
        <v>204</v>
      </c>
      <c r="R23" s="177" t="s">
        <v>205</v>
      </c>
    </row>
    <row r="24" spans="1:18">
      <c r="A24" s="327" t="str">
        <f>A9</f>
        <v>PROCESS TRUCKS</v>
      </c>
      <c r="B24" s="179"/>
      <c r="C24" s="180"/>
      <c r="D24" s="180"/>
      <c r="E24" s="180"/>
      <c r="F24" s="180"/>
      <c r="G24" s="180"/>
      <c r="H24" s="180"/>
      <c r="I24" s="180"/>
      <c r="J24" s="180"/>
      <c r="K24" s="197"/>
      <c r="L24" s="180"/>
      <c r="M24" s="180"/>
      <c r="N24" s="180"/>
      <c r="O24" s="180"/>
      <c r="P24" s="179"/>
      <c r="Q24" s="180"/>
      <c r="R24" s="181"/>
    </row>
    <row r="25" spans="1:18">
      <c r="A25" s="189">
        <f>A10</f>
        <v>0</v>
      </c>
      <c r="B25" s="258"/>
      <c r="C25" s="259">
        <v>1.5</v>
      </c>
      <c r="D25" s="259">
        <v>0.9</v>
      </c>
      <c r="E25" s="240">
        <v>0.45</v>
      </c>
      <c r="F25" s="259">
        <v>0.3</v>
      </c>
      <c r="G25" s="260">
        <f>G10</f>
        <v>10</v>
      </c>
      <c r="H25" s="260">
        <f>H10</f>
        <v>0.2</v>
      </c>
      <c r="I25" s="260">
        <f>I10</f>
        <v>40</v>
      </c>
      <c r="J25" s="260">
        <f>J10</f>
        <v>235</v>
      </c>
      <c r="K25" s="241">
        <f t="shared" ref="K25:K30" si="5">+C25*(G25/12)^D25*(I25/3)^E25/(H25/0.2)^F25*((365-J25)/365)</f>
        <v>1.4544575719290571</v>
      </c>
      <c r="L25" s="190">
        <f>L10</f>
        <v>0</v>
      </c>
      <c r="M25" s="190">
        <f>M10</f>
        <v>0</v>
      </c>
      <c r="N25" s="242">
        <f t="shared" ref="N25:N31" si="6">K25*L25/2000</f>
        <v>0</v>
      </c>
      <c r="O25" s="242">
        <f>M25*K25</f>
        <v>0</v>
      </c>
      <c r="P25" s="191">
        <f>P10</f>
        <v>0.9</v>
      </c>
      <c r="Q25" s="242">
        <f t="shared" ref="Q25:Q31" si="7">N25*(1-P25)</f>
        <v>0</v>
      </c>
      <c r="R25" s="242">
        <f>O25*(1-P25)</f>
        <v>0</v>
      </c>
    </row>
    <row r="26" spans="1:18">
      <c r="A26" s="189">
        <f>A11</f>
        <v>0</v>
      </c>
      <c r="B26" s="258"/>
      <c r="C26" s="261">
        <v>1.5</v>
      </c>
      <c r="D26" s="261">
        <v>0.9</v>
      </c>
      <c r="E26" s="244">
        <v>0.45</v>
      </c>
      <c r="F26" s="261">
        <v>0.3</v>
      </c>
      <c r="G26" s="262">
        <f>G11</f>
        <v>10</v>
      </c>
      <c r="H26" s="262">
        <f>H11</f>
        <v>0.2</v>
      </c>
      <c r="I26" s="262">
        <f>I11</f>
        <v>40</v>
      </c>
      <c r="J26" s="262">
        <f>J11</f>
        <v>235</v>
      </c>
      <c r="K26" s="245">
        <f t="shared" si="5"/>
        <v>1.4544575719290571</v>
      </c>
      <c r="L26" s="190">
        <f>L11</f>
        <v>0</v>
      </c>
      <c r="M26" s="190">
        <f>M11</f>
        <v>0</v>
      </c>
      <c r="N26" s="246">
        <f t="shared" si="6"/>
        <v>0</v>
      </c>
      <c r="O26" s="246">
        <f>M26*K26</f>
        <v>0</v>
      </c>
      <c r="P26" s="191">
        <f>P11</f>
        <v>0.9</v>
      </c>
      <c r="Q26" s="246">
        <f t="shared" si="7"/>
        <v>0</v>
      </c>
      <c r="R26" s="246">
        <f>O26*(1-P26)</f>
        <v>0</v>
      </c>
    </row>
    <row r="27" spans="1:18">
      <c r="A27" s="189">
        <f>A12</f>
        <v>0</v>
      </c>
      <c r="B27" s="258"/>
      <c r="C27" s="261">
        <v>1.5</v>
      </c>
      <c r="D27" s="261">
        <v>0.9</v>
      </c>
      <c r="E27" s="244">
        <v>0.45</v>
      </c>
      <c r="F27" s="261">
        <v>0.3</v>
      </c>
      <c r="G27" s="262">
        <f>G12</f>
        <v>10</v>
      </c>
      <c r="H27" s="262">
        <f>H12</f>
        <v>0.2</v>
      </c>
      <c r="I27" s="262">
        <f>I12</f>
        <v>35</v>
      </c>
      <c r="J27" s="262">
        <f>J12</f>
        <v>235</v>
      </c>
      <c r="K27" s="245">
        <f t="shared" si="5"/>
        <v>1.3696344804303233</v>
      </c>
      <c r="L27" s="190">
        <f>L12</f>
        <v>0</v>
      </c>
      <c r="M27" s="190">
        <f>M12</f>
        <v>0</v>
      </c>
      <c r="N27" s="246">
        <f t="shared" si="6"/>
        <v>0</v>
      </c>
      <c r="O27" s="246">
        <f>M27*K27</f>
        <v>0</v>
      </c>
      <c r="P27" s="191">
        <f>P12</f>
        <v>0.9</v>
      </c>
      <c r="Q27" s="246">
        <f t="shared" si="7"/>
        <v>0</v>
      </c>
      <c r="R27" s="246">
        <f>O27*(1-P27)</f>
        <v>0</v>
      </c>
    </row>
    <row r="28" spans="1:18">
      <c r="A28" s="189">
        <f>A13</f>
        <v>0</v>
      </c>
      <c r="B28" s="258"/>
      <c r="C28" s="261">
        <v>1.5</v>
      </c>
      <c r="D28" s="261">
        <v>0.9</v>
      </c>
      <c r="E28" s="244">
        <v>0.45</v>
      </c>
      <c r="F28" s="261">
        <v>0.3</v>
      </c>
      <c r="G28" s="262">
        <f>G13</f>
        <v>10</v>
      </c>
      <c r="H28" s="262">
        <f>H13</f>
        <v>0.2</v>
      </c>
      <c r="I28" s="262">
        <f>I13</f>
        <v>40</v>
      </c>
      <c r="J28" s="262">
        <f>J13</f>
        <v>235</v>
      </c>
      <c r="K28" s="245">
        <f t="shared" si="5"/>
        <v>1.4544575719290571</v>
      </c>
      <c r="L28" s="190">
        <f>L13</f>
        <v>0</v>
      </c>
      <c r="M28" s="190">
        <f>M13</f>
        <v>0</v>
      </c>
      <c r="N28" s="246">
        <f t="shared" si="6"/>
        <v>0</v>
      </c>
      <c r="O28" s="246">
        <f>M28*K28</f>
        <v>0</v>
      </c>
      <c r="P28" s="191">
        <f>P13</f>
        <v>0.9</v>
      </c>
      <c r="Q28" s="246">
        <f t="shared" si="7"/>
        <v>0</v>
      </c>
      <c r="R28" s="246">
        <f>O28*(1-P28)</f>
        <v>0</v>
      </c>
    </row>
    <row r="29" spans="1:18">
      <c r="A29" s="189">
        <f>A14</f>
        <v>0</v>
      </c>
      <c r="B29" s="258"/>
      <c r="C29" s="261">
        <v>1.5</v>
      </c>
      <c r="D29" s="261">
        <v>0.9</v>
      </c>
      <c r="E29" s="244">
        <v>0.45</v>
      </c>
      <c r="F29" s="261">
        <v>0.3</v>
      </c>
      <c r="G29" s="262">
        <f>G14</f>
        <v>10</v>
      </c>
      <c r="H29" s="262">
        <f>H14</f>
        <v>0.2</v>
      </c>
      <c r="I29" s="262">
        <f>I14</f>
        <v>20</v>
      </c>
      <c r="J29" s="262">
        <f>J14</f>
        <v>235</v>
      </c>
      <c r="K29" s="245">
        <f t="shared" si="5"/>
        <v>1.064725263210569</v>
      </c>
      <c r="L29" s="190">
        <f>L14</f>
        <v>0</v>
      </c>
      <c r="M29" s="190">
        <f>M14</f>
        <v>0</v>
      </c>
      <c r="N29" s="246">
        <f t="shared" si="6"/>
        <v>0</v>
      </c>
      <c r="O29" s="246">
        <f>M29*K29</f>
        <v>0</v>
      </c>
      <c r="P29" s="191">
        <f>P14</f>
        <v>0.9</v>
      </c>
      <c r="Q29" s="246">
        <f t="shared" si="7"/>
        <v>0</v>
      </c>
      <c r="R29" s="246">
        <f>O29*(1-P29)</f>
        <v>0</v>
      </c>
    </row>
    <row r="30" spans="1:18">
      <c r="A30" s="189">
        <f>A15</f>
        <v>0</v>
      </c>
      <c r="B30" s="258"/>
      <c r="C30" s="261">
        <v>1.5</v>
      </c>
      <c r="D30" s="261">
        <v>0.9</v>
      </c>
      <c r="E30" s="244">
        <v>0.45</v>
      </c>
      <c r="F30" s="261">
        <v>0.3</v>
      </c>
      <c r="G30" s="262">
        <f>G15</f>
        <v>10</v>
      </c>
      <c r="H30" s="262">
        <f>H15</f>
        <v>0.2</v>
      </c>
      <c r="I30" s="262">
        <f>I15</f>
        <v>15</v>
      </c>
      <c r="J30" s="262">
        <f>J15</f>
        <v>235</v>
      </c>
      <c r="K30" s="245">
        <f t="shared" si="5"/>
        <v>0.93543825691406124</v>
      </c>
      <c r="L30" s="190">
        <f>L15</f>
        <v>0</v>
      </c>
      <c r="M30" s="190">
        <f>M15</f>
        <v>0</v>
      </c>
      <c r="N30" s="246">
        <f t="shared" si="6"/>
        <v>0</v>
      </c>
      <c r="O30" s="246">
        <f>M30*K30</f>
        <v>0</v>
      </c>
      <c r="P30" s="191">
        <f>P15</f>
        <v>0.9</v>
      </c>
      <c r="Q30" s="246">
        <f t="shared" si="7"/>
        <v>0</v>
      </c>
      <c r="R30" s="246">
        <f>O30*(1-P30)</f>
        <v>0</v>
      </c>
    </row>
    <row r="31" spans="1:18" ht="16" customHeight="1">
      <c r="A31" s="219" t="s">
        <v>207</v>
      </c>
      <c r="B31" s="220"/>
      <c r="C31" s="221"/>
      <c r="D31" s="221"/>
      <c r="E31" s="222"/>
      <c r="F31" s="221"/>
      <c r="G31" s="221"/>
      <c r="H31" s="221"/>
      <c r="I31" s="221"/>
      <c r="J31" s="221"/>
      <c r="K31" s="223"/>
      <c r="L31" s="224"/>
      <c r="M31" s="225"/>
      <c r="N31" s="251">
        <f>SUM(N25:N30)</f>
        <v>0</v>
      </c>
      <c r="O31" s="192" t="s">
        <v>208</v>
      </c>
      <c r="P31" s="191">
        <f>P16</f>
        <v>0.9</v>
      </c>
      <c r="Q31" s="251">
        <f>SUM(Q25:Q30)</f>
        <v>0</v>
      </c>
      <c r="R31" s="192" t="s">
        <v>249</v>
      </c>
    </row>
    <row r="32" spans="1:18">
      <c r="A32" s="263"/>
      <c r="B32" s="255"/>
      <c r="C32" s="254"/>
      <c r="D32" s="254"/>
      <c r="E32" s="254"/>
      <c r="F32" s="254"/>
      <c r="G32" s="254"/>
      <c r="H32" s="254"/>
      <c r="I32" s="254"/>
      <c r="J32" s="254"/>
      <c r="K32" s="255"/>
      <c r="L32" s="255"/>
      <c r="M32" s="255"/>
      <c r="N32" s="255"/>
      <c r="O32" s="255"/>
      <c r="P32" s="263"/>
      <c r="Q32" s="255"/>
    </row>
    <row r="33" spans="1:17">
      <c r="A33" s="264" t="s">
        <v>219</v>
      </c>
      <c r="B33" s="265"/>
      <c r="C33" s="265"/>
      <c r="D33" s="265"/>
      <c r="E33" s="265"/>
      <c r="F33" s="265"/>
      <c r="G33" s="265"/>
      <c r="H33" s="254"/>
      <c r="I33" s="254"/>
      <c r="J33" s="254"/>
      <c r="K33" s="255"/>
      <c r="L33" s="255"/>
      <c r="M33" s="255"/>
      <c r="N33" s="255"/>
      <c r="O33" s="255"/>
      <c r="P33" s="263"/>
      <c r="Q33" s="255"/>
    </row>
    <row r="34" spans="1:17" ht="18">
      <c r="A34" s="264"/>
      <c r="B34" s="264" t="s">
        <v>239</v>
      </c>
      <c r="C34" s="264"/>
      <c r="D34" s="264"/>
      <c r="E34" s="264"/>
      <c r="F34" s="264"/>
      <c r="G34" s="264"/>
      <c r="I34" s="254"/>
      <c r="P34" s="266"/>
    </row>
    <row r="35" spans="1:17">
      <c r="A35" s="264" t="s">
        <v>178</v>
      </c>
      <c r="B35" s="264" t="s">
        <v>210</v>
      </c>
      <c r="C35" s="264" t="s">
        <v>211</v>
      </c>
      <c r="D35" s="264"/>
      <c r="E35" s="264"/>
      <c r="F35" s="264"/>
      <c r="G35" s="264"/>
    </row>
    <row r="36" spans="1:17">
      <c r="A36" s="264"/>
      <c r="B36" s="264"/>
      <c r="C36" s="264" t="s">
        <v>212</v>
      </c>
      <c r="D36" s="264"/>
      <c r="E36" s="264"/>
      <c r="F36" s="264"/>
      <c r="G36" s="264"/>
    </row>
    <row r="37" spans="1:17">
      <c r="A37" s="264"/>
      <c r="B37" s="264"/>
      <c r="C37" s="264" t="s">
        <v>213</v>
      </c>
      <c r="D37" s="264"/>
      <c r="E37" s="264"/>
      <c r="F37" s="264"/>
      <c r="G37" s="264"/>
    </row>
    <row r="38" spans="1:17">
      <c r="A38" s="264"/>
      <c r="B38" s="264"/>
      <c r="C38" s="264" t="s">
        <v>214</v>
      </c>
      <c r="D38" s="264"/>
      <c r="E38" s="264"/>
      <c r="F38" s="264"/>
      <c r="G38" s="264"/>
    </row>
    <row r="39" spans="1:17">
      <c r="A39" s="264"/>
      <c r="B39" s="264"/>
      <c r="C39" s="264" t="s">
        <v>215</v>
      </c>
      <c r="D39" s="264"/>
      <c r="E39" s="264"/>
      <c r="F39" s="264"/>
      <c r="G39" s="264"/>
    </row>
    <row r="40" spans="1:17">
      <c r="A40" s="264"/>
      <c r="B40" s="264"/>
      <c r="C40" s="264" t="s">
        <v>216</v>
      </c>
      <c r="D40" s="264"/>
      <c r="E40" s="264"/>
      <c r="F40" s="264"/>
      <c r="G40" s="264"/>
    </row>
    <row r="42" spans="1:17">
      <c r="A42" s="213" t="s">
        <v>243</v>
      </c>
    </row>
    <row r="43" spans="1:17">
      <c r="A43" s="207" t="s">
        <v>244</v>
      </c>
      <c r="B43" s="208"/>
    </row>
    <row r="44" spans="1:17">
      <c r="A44" s="267"/>
    </row>
    <row r="45" spans="1:17">
      <c r="A45" s="159" t="s">
        <v>114</v>
      </c>
      <c r="B45" s="159"/>
      <c r="C45" s="159"/>
      <c r="D45" s="159"/>
      <c r="E45" s="159"/>
      <c r="F45" s="159"/>
      <c r="G45" s="159"/>
      <c r="H45" s="159"/>
      <c r="I45" s="159"/>
      <c r="J45" s="159"/>
    </row>
    <row r="46" spans="1:17">
      <c r="A46" s="58"/>
      <c r="B46" s="58"/>
      <c r="C46" s="58"/>
      <c r="D46" s="58"/>
      <c r="E46" s="58"/>
      <c r="F46" s="58"/>
      <c r="G46" s="58"/>
      <c r="H46" s="58"/>
      <c r="I46" s="58"/>
      <c r="J46" s="58"/>
    </row>
    <row r="47" spans="1:17">
      <c r="A47" s="90" t="s">
        <v>153</v>
      </c>
      <c r="B47" s="113"/>
      <c r="C47" s="113"/>
      <c r="D47" s="113"/>
      <c r="E47" s="58"/>
      <c r="F47" s="58"/>
      <c r="G47" s="58"/>
      <c r="H47" s="58"/>
      <c r="I47" s="58"/>
      <c r="J47" s="58"/>
    </row>
  </sheetData>
  <mergeCells count="20">
    <mergeCell ref="A30:B30"/>
    <mergeCell ref="A5:B8"/>
    <mergeCell ref="A20:B23"/>
    <mergeCell ref="C5:J6"/>
    <mergeCell ref="C20:J21"/>
    <mergeCell ref="A45:J45"/>
    <mergeCell ref="A10:B10"/>
    <mergeCell ref="A11:B11"/>
    <mergeCell ref="A12:B12"/>
    <mergeCell ref="A13:B13"/>
    <mergeCell ref="A14:B14"/>
    <mergeCell ref="A15:B15"/>
    <mergeCell ref="A25:B25"/>
    <mergeCell ref="N5:O5"/>
    <mergeCell ref="A16:B16"/>
    <mergeCell ref="A31:B31"/>
    <mergeCell ref="A26:B26"/>
    <mergeCell ref="A27:B27"/>
    <mergeCell ref="A28:B28"/>
    <mergeCell ref="A29:B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EC69-C604-454F-9B63-87AE555F07B1}">
  <dimension ref="A1:M46"/>
  <sheetViews>
    <sheetView workbookViewId="0"/>
  </sheetViews>
  <sheetFormatPr baseColWidth="10" defaultColWidth="12.1640625" defaultRowHeight="16"/>
  <cols>
    <col min="1" max="1" width="9.33203125" style="214" customWidth="1"/>
    <col min="2" max="2" width="20.33203125" style="214" customWidth="1"/>
    <col min="3" max="3" width="14" style="214" customWidth="1"/>
    <col min="4" max="4" width="13.83203125" style="214" customWidth="1"/>
    <col min="5" max="5" width="14.5" style="214" customWidth="1"/>
    <col min="6" max="6" width="11.6640625" style="214" customWidth="1"/>
    <col min="7" max="8" width="17.1640625" style="214" customWidth="1"/>
    <col min="9" max="9" width="16.33203125" style="214" customWidth="1"/>
    <col min="10" max="10" width="17" style="214" customWidth="1"/>
    <col min="11" max="11" width="13.6640625" style="214" customWidth="1"/>
    <col min="12" max="12" width="15.5" style="214" customWidth="1"/>
    <col min="13" max="13" width="13.6640625" style="214" customWidth="1"/>
    <col min="14" max="256" width="12.1640625" style="214"/>
    <col min="257" max="257" width="9.33203125" style="214" customWidth="1"/>
    <col min="258" max="258" width="20.33203125" style="214" customWidth="1"/>
    <col min="259" max="259" width="14" style="214" customWidth="1"/>
    <col min="260" max="260" width="13.83203125" style="214" customWidth="1"/>
    <col min="261" max="261" width="14.5" style="214" customWidth="1"/>
    <col min="262" max="262" width="11.6640625" style="214" customWidth="1"/>
    <col min="263" max="264" width="17.1640625" style="214" customWidth="1"/>
    <col min="265" max="265" width="16.33203125" style="214" customWidth="1"/>
    <col min="266" max="266" width="17" style="214" customWidth="1"/>
    <col min="267" max="267" width="13.6640625" style="214" customWidth="1"/>
    <col min="268" max="268" width="15.5" style="214" customWidth="1"/>
    <col min="269" max="269" width="13.6640625" style="214" customWidth="1"/>
    <col min="270" max="512" width="12.1640625" style="214"/>
    <col min="513" max="513" width="9.33203125" style="214" customWidth="1"/>
    <col min="514" max="514" width="20.33203125" style="214" customWidth="1"/>
    <col min="515" max="515" width="14" style="214" customWidth="1"/>
    <col min="516" max="516" width="13.83203125" style="214" customWidth="1"/>
    <col min="517" max="517" width="14.5" style="214" customWidth="1"/>
    <col min="518" max="518" width="11.6640625" style="214" customWidth="1"/>
    <col min="519" max="520" width="17.1640625" style="214" customWidth="1"/>
    <col min="521" max="521" width="16.33203125" style="214" customWidth="1"/>
    <col min="522" max="522" width="17" style="214" customWidth="1"/>
    <col min="523" max="523" width="13.6640625" style="214" customWidth="1"/>
    <col min="524" max="524" width="15.5" style="214" customWidth="1"/>
    <col min="525" max="525" width="13.6640625" style="214" customWidth="1"/>
    <col min="526" max="768" width="12.1640625" style="214"/>
    <col min="769" max="769" width="9.33203125" style="214" customWidth="1"/>
    <col min="770" max="770" width="20.33203125" style="214" customWidth="1"/>
    <col min="771" max="771" width="14" style="214" customWidth="1"/>
    <col min="772" max="772" width="13.83203125" style="214" customWidth="1"/>
    <col min="773" max="773" width="14.5" style="214" customWidth="1"/>
    <col min="774" max="774" width="11.6640625" style="214" customWidth="1"/>
    <col min="775" max="776" width="17.1640625" style="214" customWidth="1"/>
    <col min="777" max="777" width="16.33203125" style="214" customWidth="1"/>
    <col min="778" max="778" width="17" style="214" customWidth="1"/>
    <col min="779" max="779" width="13.6640625" style="214" customWidth="1"/>
    <col min="780" max="780" width="15.5" style="214" customWidth="1"/>
    <col min="781" max="781" width="13.6640625" style="214" customWidth="1"/>
    <col min="782" max="1024" width="12.1640625" style="214"/>
    <col min="1025" max="1025" width="9.33203125" style="214" customWidth="1"/>
    <col min="1026" max="1026" width="20.33203125" style="214" customWidth="1"/>
    <col min="1027" max="1027" width="14" style="214" customWidth="1"/>
    <col min="1028" max="1028" width="13.83203125" style="214" customWidth="1"/>
    <col min="1029" max="1029" width="14.5" style="214" customWidth="1"/>
    <col min="1030" max="1030" width="11.6640625" style="214" customWidth="1"/>
    <col min="1031" max="1032" width="17.1640625" style="214" customWidth="1"/>
    <col min="1033" max="1033" width="16.33203125" style="214" customWidth="1"/>
    <col min="1034" max="1034" width="17" style="214" customWidth="1"/>
    <col min="1035" max="1035" width="13.6640625" style="214" customWidth="1"/>
    <col min="1036" max="1036" width="15.5" style="214" customWidth="1"/>
    <col min="1037" max="1037" width="13.6640625" style="214" customWidth="1"/>
    <col min="1038" max="1280" width="12.1640625" style="214"/>
    <col min="1281" max="1281" width="9.33203125" style="214" customWidth="1"/>
    <col min="1282" max="1282" width="20.33203125" style="214" customWidth="1"/>
    <col min="1283" max="1283" width="14" style="214" customWidth="1"/>
    <col min="1284" max="1284" width="13.83203125" style="214" customWidth="1"/>
    <col min="1285" max="1285" width="14.5" style="214" customWidth="1"/>
    <col min="1286" max="1286" width="11.6640625" style="214" customWidth="1"/>
    <col min="1287" max="1288" width="17.1640625" style="214" customWidth="1"/>
    <col min="1289" max="1289" width="16.33203125" style="214" customWidth="1"/>
    <col min="1290" max="1290" width="17" style="214" customWidth="1"/>
    <col min="1291" max="1291" width="13.6640625" style="214" customWidth="1"/>
    <col min="1292" max="1292" width="15.5" style="214" customWidth="1"/>
    <col min="1293" max="1293" width="13.6640625" style="214" customWidth="1"/>
    <col min="1294" max="1536" width="12.1640625" style="214"/>
    <col min="1537" max="1537" width="9.33203125" style="214" customWidth="1"/>
    <col min="1538" max="1538" width="20.33203125" style="214" customWidth="1"/>
    <col min="1539" max="1539" width="14" style="214" customWidth="1"/>
    <col min="1540" max="1540" width="13.83203125" style="214" customWidth="1"/>
    <col min="1541" max="1541" width="14.5" style="214" customWidth="1"/>
    <col min="1542" max="1542" width="11.6640625" style="214" customWidth="1"/>
    <col min="1543" max="1544" width="17.1640625" style="214" customWidth="1"/>
    <col min="1545" max="1545" width="16.33203125" style="214" customWidth="1"/>
    <col min="1546" max="1546" width="17" style="214" customWidth="1"/>
    <col min="1547" max="1547" width="13.6640625" style="214" customWidth="1"/>
    <col min="1548" max="1548" width="15.5" style="214" customWidth="1"/>
    <col min="1549" max="1549" width="13.6640625" style="214" customWidth="1"/>
    <col min="1550" max="1792" width="12.1640625" style="214"/>
    <col min="1793" max="1793" width="9.33203125" style="214" customWidth="1"/>
    <col min="1794" max="1794" width="20.33203125" style="214" customWidth="1"/>
    <col min="1795" max="1795" width="14" style="214" customWidth="1"/>
    <col min="1796" max="1796" width="13.83203125" style="214" customWidth="1"/>
    <col min="1797" max="1797" width="14.5" style="214" customWidth="1"/>
    <col min="1798" max="1798" width="11.6640625" style="214" customWidth="1"/>
    <col min="1799" max="1800" width="17.1640625" style="214" customWidth="1"/>
    <col min="1801" max="1801" width="16.33203125" style="214" customWidth="1"/>
    <col min="1802" max="1802" width="17" style="214" customWidth="1"/>
    <col min="1803" max="1803" width="13.6640625" style="214" customWidth="1"/>
    <col min="1804" max="1804" width="15.5" style="214" customWidth="1"/>
    <col min="1805" max="1805" width="13.6640625" style="214" customWidth="1"/>
    <col min="1806" max="2048" width="12.1640625" style="214"/>
    <col min="2049" max="2049" width="9.33203125" style="214" customWidth="1"/>
    <col min="2050" max="2050" width="20.33203125" style="214" customWidth="1"/>
    <col min="2051" max="2051" width="14" style="214" customWidth="1"/>
    <col min="2052" max="2052" width="13.83203125" style="214" customWidth="1"/>
    <col min="2053" max="2053" width="14.5" style="214" customWidth="1"/>
    <col min="2054" max="2054" width="11.6640625" style="214" customWidth="1"/>
    <col min="2055" max="2056" width="17.1640625" style="214" customWidth="1"/>
    <col min="2057" max="2057" width="16.33203125" style="214" customWidth="1"/>
    <col min="2058" max="2058" width="17" style="214" customWidth="1"/>
    <col min="2059" max="2059" width="13.6640625" style="214" customWidth="1"/>
    <col min="2060" max="2060" width="15.5" style="214" customWidth="1"/>
    <col min="2061" max="2061" width="13.6640625" style="214" customWidth="1"/>
    <col min="2062" max="2304" width="12.1640625" style="214"/>
    <col min="2305" max="2305" width="9.33203125" style="214" customWidth="1"/>
    <col min="2306" max="2306" width="20.33203125" style="214" customWidth="1"/>
    <col min="2307" max="2307" width="14" style="214" customWidth="1"/>
    <col min="2308" max="2308" width="13.83203125" style="214" customWidth="1"/>
    <col min="2309" max="2309" width="14.5" style="214" customWidth="1"/>
    <col min="2310" max="2310" width="11.6640625" style="214" customWidth="1"/>
    <col min="2311" max="2312" width="17.1640625" style="214" customWidth="1"/>
    <col min="2313" max="2313" width="16.33203125" style="214" customWidth="1"/>
    <col min="2314" max="2314" width="17" style="214" customWidth="1"/>
    <col min="2315" max="2315" width="13.6640625" style="214" customWidth="1"/>
    <col min="2316" max="2316" width="15.5" style="214" customWidth="1"/>
    <col min="2317" max="2317" width="13.6640625" style="214" customWidth="1"/>
    <col min="2318" max="2560" width="12.1640625" style="214"/>
    <col min="2561" max="2561" width="9.33203125" style="214" customWidth="1"/>
    <col min="2562" max="2562" width="20.33203125" style="214" customWidth="1"/>
    <col min="2563" max="2563" width="14" style="214" customWidth="1"/>
    <col min="2564" max="2564" width="13.83203125" style="214" customWidth="1"/>
    <col min="2565" max="2565" width="14.5" style="214" customWidth="1"/>
    <col min="2566" max="2566" width="11.6640625" style="214" customWidth="1"/>
    <col min="2567" max="2568" width="17.1640625" style="214" customWidth="1"/>
    <col min="2569" max="2569" width="16.33203125" style="214" customWidth="1"/>
    <col min="2570" max="2570" width="17" style="214" customWidth="1"/>
    <col min="2571" max="2571" width="13.6640625" style="214" customWidth="1"/>
    <col min="2572" max="2572" width="15.5" style="214" customWidth="1"/>
    <col min="2573" max="2573" width="13.6640625" style="214" customWidth="1"/>
    <col min="2574" max="2816" width="12.1640625" style="214"/>
    <col min="2817" max="2817" width="9.33203125" style="214" customWidth="1"/>
    <col min="2818" max="2818" width="20.33203125" style="214" customWidth="1"/>
    <col min="2819" max="2819" width="14" style="214" customWidth="1"/>
    <col min="2820" max="2820" width="13.83203125" style="214" customWidth="1"/>
    <col min="2821" max="2821" width="14.5" style="214" customWidth="1"/>
    <col min="2822" max="2822" width="11.6640625" style="214" customWidth="1"/>
    <col min="2823" max="2824" width="17.1640625" style="214" customWidth="1"/>
    <col min="2825" max="2825" width="16.33203125" style="214" customWidth="1"/>
    <col min="2826" max="2826" width="17" style="214" customWidth="1"/>
    <col min="2827" max="2827" width="13.6640625" style="214" customWidth="1"/>
    <col min="2828" max="2828" width="15.5" style="214" customWidth="1"/>
    <col min="2829" max="2829" width="13.6640625" style="214" customWidth="1"/>
    <col min="2830" max="3072" width="12.1640625" style="214"/>
    <col min="3073" max="3073" width="9.33203125" style="214" customWidth="1"/>
    <col min="3074" max="3074" width="20.33203125" style="214" customWidth="1"/>
    <col min="3075" max="3075" width="14" style="214" customWidth="1"/>
    <col min="3076" max="3076" width="13.83203125" style="214" customWidth="1"/>
    <col min="3077" max="3077" width="14.5" style="214" customWidth="1"/>
    <col min="3078" max="3078" width="11.6640625" style="214" customWidth="1"/>
    <col min="3079" max="3080" width="17.1640625" style="214" customWidth="1"/>
    <col min="3081" max="3081" width="16.33203125" style="214" customWidth="1"/>
    <col min="3082" max="3082" width="17" style="214" customWidth="1"/>
    <col min="3083" max="3083" width="13.6640625" style="214" customWidth="1"/>
    <col min="3084" max="3084" width="15.5" style="214" customWidth="1"/>
    <col min="3085" max="3085" width="13.6640625" style="214" customWidth="1"/>
    <col min="3086" max="3328" width="12.1640625" style="214"/>
    <col min="3329" max="3329" width="9.33203125" style="214" customWidth="1"/>
    <col min="3330" max="3330" width="20.33203125" style="214" customWidth="1"/>
    <col min="3331" max="3331" width="14" style="214" customWidth="1"/>
    <col min="3332" max="3332" width="13.83203125" style="214" customWidth="1"/>
    <col min="3333" max="3333" width="14.5" style="214" customWidth="1"/>
    <col min="3334" max="3334" width="11.6640625" style="214" customWidth="1"/>
    <col min="3335" max="3336" width="17.1640625" style="214" customWidth="1"/>
    <col min="3337" max="3337" width="16.33203125" style="214" customWidth="1"/>
    <col min="3338" max="3338" width="17" style="214" customWidth="1"/>
    <col min="3339" max="3339" width="13.6640625" style="214" customWidth="1"/>
    <col min="3340" max="3340" width="15.5" style="214" customWidth="1"/>
    <col min="3341" max="3341" width="13.6640625" style="214" customWidth="1"/>
    <col min="3342" max="3584" width="12.1640625" style="214"/>
    <col min="3585" max="3585" width="9.33203125" style="214" customWidth="1"/>
    <col min="3586" max="3586" width="20.33203125" style="214" customWidth="1"/>
    <col min="3587" max="3587" width="14" style="214" customWidth="1"/>
    <col min="3588" max="3588" width="13.83203125" style="214" customWidth="1"/>
    <col min="3589" max="3589" width="14.5" style="214" customWidth="1"/>
    <col min="3590" max="3590" width="11.6640625" style="214" customWidth="1"/>
    <col min="3591" max="3592" width="17.1640625" style="214" customWidth="1"/>
    <col min="3593" max="3593" width="16.33203125" style="214" customWidth="1"/>
    <col min="3594" max="3594" width="17" style="214" customWidth="1"/>
    <col min="3595" max="3595" width="13.6640625" style="214" customWidth="1"/>
    <col min="3596" max="3596" width="15.5" style="214" customWidth="1"/>
    <col min="3597" max="3597" width="13.6640625" style="214" customWidth="1"/>
    <col min="3598" max="3840" width="12.1640625" style="214"/>
    <col min="3841" max="3841" width="9.33203125" style="214" customWidth="1"/>
    <col min="3842" max="3842" width="20.33203125" style="214" customWidth="1"/>
    <col min="3843" max="3843" width="14" style="214" customWidth="1"/>
    <col min="3844" max="3844" width="13.83203125" style="214" customWidth="1"/>
    <col min="3845" max="3845" width="14.5" style="214" customWidth="1"/>
    <col min="3846" max="3846" width="11.6640625" style="214" customWidth="1"/>
    <col min="3847" max="3848" width="17.1640625" style="214" customWidth="1"/>
    <col min="3849" max="3849" width="16.33203125" style="214" customWidth="1"/>
    <col min="3850" max="3850" width="17" style="214" customWidth="1"/>
    <col min="3851" max="3851" width="13.6640625" style="214" customWidth="1"/>
    <col min="3852" max="3852" width="15.5" style="214" customWidth="1"/>
    <col min="3853" max="3853" width="13.6640625" style="214" customWidth="1"/>
    <col min="3854" max="4096" width="12.1640625" style="214"/>
    <col min="4097" max="4097" width="9.33203125" style="214" customWidth="1"/>
    <col min="4098" max="4098" width="20.33203125" style="214" customWidth="1"/>
    <col min="4099" max="4099" width="14" style="214" customWidth="1"/>
    <col min="4100" max="4100" width="13.83203125" style="214" customWidth="1"/>
    <col min="4101" max="4101" width="14.5" style="214" customWidth="1"/>
    <col min="4102" max="4102" width="11.6640625" style="214" customWidth="1"/>
    <col min="4103" max="4104" width="17.1640625" style="214" customWidth="1"/>
    <col min="4105" max="4105" width="16.33203125" style="214" customWidth="1"/>
    <col min="4106" max="4106" width="17" style="214" customWidth="1"/>
    <col min="4107" max="4107" width="13.6640625" style="214" customWidth="1"/>
    <col min="4108" max="4108" width="15.5" style="214" customWidth="1"/>
    <col min="4109" max="4109" width="13.6640625" style="214" customWidth="1"/>
    <col min="4110" max="4352" width="12.1640625" style="214"/>
    <col min="4353" max="4353" width="9.33203125" style="214" customWidth="1"/>
    <col min="4354" max="4354" width="20.33203125" style="214" customWidth="1"/>
    <col min="4355" max="4355" width="14" style="214" customWidth="1"/>
    <col min="4356" max="4356" width="13.83203125" style="214" customWidth="1"/>
    <col min="4357" max="4357" width="14.5" style="214" customWidth="1"/>
    <col min="4358" max="4358" width="11.6640625" style="214" customWidth="1"/>
    <col min="4359" max="4360" width="17.1640625" style="214" customWidth="1"/>
    <col min="4361" max="4361" width="16.33203125" style="214" customWidth="1"/>
    <col min="4362" max="4362" width="17" style="214" customWidth="1"/>
    <col min="4363" max="4363" width="13.6640625" style="214" customWidth="1"/>
    <col min="4364" max="4364" width="15.5" style="214" customWidth="1"/>
    <col min="4365" max="4365" width="13.6640625" style="214" customWidth="1"/>
    <col min="4366" max="4608" width="12.1640625" style="214"/>
    <col min="4609" max="4609" width="9.33203125" style="214" customWidth="1"/>
    <col min="4610" max="4610" width="20.33203125" style="214" customWidth="1"/>
    <col min="4611" max="4611" width="14" style="214" customWidth="1"/>
    <col min="4612" max="4612" width="13.83203125" style="214" customWidth="1"/>
    <col min="4613" max="4613" width="14.5" style="214" customWidth="1"/>
    <col min="4614" max="4614" width="11.6640625" style="214" customWidth="1"/>
    <col min="4615" max="4616" width="17.1640625" style="214" customWidth="1"/>
    <col min="4617" max="4617" width="16.33203125" style="214" customWidth="1"/>
    <col min="4618" max="4618" width="17" style="214" customWidth="1"/>
    <col min="4619" max="4619" width="13.6640625" style="214" customWidth="1"/>
    <col min="4620" max="4620" width="15.5" style="214" customWidth="1"/>
    <col min="4621" max="4621" width="13.6640625" style="214" customWidth="1"/>
    <col min="4622" max="4864" width="12.1640625" style="214"/>
    <col min="4865" max="4865" width="9.33203125" style="214" customWidth="1"/>
    <col min="4866" max="4866" width="20.33203125" style="214" customWidth="1"/>
    <col min="4867" max="4867" width="14" style="214" customWidth="1"/>
    <col min="4868" max="4868" width="13.83203125" style="214" customWidth="1"/>
    <col min="4869" max="4869" width="14.5" style="214" customWidth="1"/>
    <col min="4870" max="4870" width="11.6640625" style="214" customWidth="1"/>
    <col min="4871" max="4872" width="17.1640625" style="214" customWidth="1"/>
    <col min="4873" max="4873" width="16.33203125" style="214" customWidth="1"/>
    <col min="4874" max="4874" width="17" style="214" customWidth="1"/>
    <col min="4875" max="4875" width="13.6640625" style="214" customWidth="1"/>
    <col min="4876" max="4876" width="15.5" style="214" customWidth="1"/>
    <col min="4877" max="4877" width="13.6640625" style="214" customWidth="1"/>
    <col min="4878" max="5120" width="12.1640625" style="214"/>
    <col min="5121" max="5121" width="9.33203125" style="214" customWidth="1"/>
    <col min="5122" max="5122" width="20.33203125" style="214" customWidth="1"/>
    <col min="5123" max="5123" width="14" style="214" customWidth="1"/>
    <col min="5124" max="5124" width="13.83203125" style="214" customWidth="1"/>
    <col min="5125" max="5125" width="14.5" style="214" customWidth="1"/>
    <col min="5126" max="5126" width="11.6640625" style="214" customWidth="1"/>
    <col min="5127" max="5128" width="17.1640625" style="214" customWidth="1"/>
    <col min="5129" max="5129" width="16.33203125" style="214" customWidth="1"/>
    <col min="5130" max="5130" width="17" style="214" customWidth="1"/>
    <col min="5131" max="5131" width="13.6640625" style="214" customWidth="1"/>
    <col min="5132" max="5132" width="15.5" style="214" customWidth="1"/>
    <col min="5133" max="5133" width="13.6640625" style="214" customWidth="1"/>
    <col min="5134" max="5376" width="12.1640625" style="214"/>
    <col min="5377" max="5377" width="9.33203125" style="214" customWidth="1"/>
    <col min="5378" max="5378" width="20.33203125" style="214" customWidth="1"/>
    <col min="5379" max="5379" width="14" style="214" customWidth="1"/>
    <col min="5380" max="5380" width="13.83203125" style="214" customWidth="1"/>
    <col min="5381" max="5381" width="14.5" style="214" customWidth="1"/>
    <col min="5382" max="5382" width="11.6640625" style="214" customWidth="1"/>
    <col min="5383" max="5384" width="17.1640625" style="214" customWidth="1"/>
    <col min="5385" max="5385" width="16.33203125" style="214" customWidth="1"/>
    <col min="5386" max="5386" width="17" style="214" customWidth="1"/>
    <col min="5387" max="5387" width="13.6640625" style="214" customWidth="1"/>
    <col min="5388" max="5388" width="15.5" style="214" customWidth="1"/>
    <col min="5389" max="5389" width="13.6640625" style="214" customWidth="1"/>
    <col min="5390" max="5632" width="12.1640625" style="214"/>
    <col min="5633" max="5633" width="9.33203125" style="214" customWidth="1"/>
    <col min="5634" max="5634" width="20.33203125" style="214" customWidth="1"/>
    <col min="5635" max="5635" width="14" style="214" customWidth="1"/>
    <col min="5636" max="5636" width="13.83203125" style="214" customWidth="1"/>
    <col min="5637" max="5637" width="14.5" style="214" customWidth="1"/>
    <col min="5638" max="5638" width="11.6640625" style="214" customWidth="1"/>
    <col min="5639" max="5640" width="17.1640625" style="214" customWidth="1"/>
    <col min="5641" max="5641" width="16.33203125" style="214" customWidth="1"/>
    <col min="5642" max="5642" width="17" style="214" customWidth="1"/>
    <col min="5643" max="5643" width="13.6640625" style="214" customWidth="1"/>
    <col min="5644" max="5644" width="15.5" style="214" customWidth="1"/>
    <col min="5645" max="5645" width="13.6640625" style="214" customWidth="1"/>
    <col min="5646" max="5888" width="12.1640625" style="214"/>
    <col min="5889" max="5889" width="9.33203125" style="214" customWidth="1"/>
    <col min="5890" max="5890" width="20.33203125" style="214" customWidth="1"/>
    <col min="5891" max="5891" width="14" style="214" customWidth="1"/>
    <col min="5892" max="5892" width="13.83203125" style="214" customWidth="1"/>
    <col min="5893" max="5893" width="14.5" style="214" customWidth="1"/>
    <col min="5894" max="5894" width="11.6640625" style="214" customWidth="1"/>
    <col min="5895" max="5896" width="17.1640625" style="214" customWidth="1"/>
    <col min="5897" max="5897" width="16.33203125" style="214" customWidth="1"/>
    <col min="5898" max="5898" width="17" style="214" customWidth="1"/>
    <col min="5899" max="5899" width="13.6640625" style="214" customWidth="1"/>
    <col min="5900" max="5900" width="15.5" style="214" customWidth="1"/>
    <col min="5901" max="5901" width="13.6640625" style="214" customWidth="1"/>
    <col min="5902" max="6144" width="12.1640625" style="214"/>
    <col min="6145" max="6145" width="9.33203125" style="214" customWidth="1"/>
    <col min="6146" max="6146" width="20.33203125" style="214" customWidth="1"/>
    <col min="6147" max="6147" width="14" style="214" customWidth="1"/>
    <col min="6148" max="6148" width="13.83203125" style="214" customWidth="1"/>
    <col min="6149" max="6149" width="14.5" style="214" customWidth="1"/>
    <col min="6150" max="6150" width="11.6640625" style="214" customWidth="1"/>
    <col min="6151" max="6152" width="17.1640625" style="214" customWidth="1"/>
    <col min="6153" max="6153" width="16.33203125" style="214" customWidth="1"/>
    <col min="6154" max="6154" width="17" style="214" customWidth="1"/>
    <col min="6155" max="6155" width="13.6640625" style="214" customWidth="1"/>
    <col min="6156" max="6156" width="15.5" style="214" customWidth="1"/>
    <col min="6157" max="6157" width="13.6640625" style="214" customWidth="1"/>
    <col min="6158" max="6400" width="12.1640625" style="214"/>
    <col min="6401" max="6401" width="9.33203125" style="214" customWidth="1"/>
    <col min="6402" max="6402" width="20.33203125" style="214" customWidth="1"/>
    <col min="6403" max="6403" width="14" style="214" customWidth="1"/>
    <col min="6404" max="6404" width="13.83203125" style="214" customWidth="1"/>
    <col min="6405" max="6405" width="14.5" style="214" customWidth="1"/>
    <col min="6406" max="6406" width="11.6640625" style="214" customWidth="1"/>
    <col min="6407" max="6408" width="17.1640625" style="214" customWidth="1"/>
    <col min="6409" max="6409" width="16.33203125" style="214" customWidth="1"/>
    <col min="6410" max="6410" width="17" style="214" customWidth="1"/>
    <col min="6411" max="6411" width="13.6640625" style="214" customWidth="1"/>
    <col min="6412" max="6412" width="15.5" style="214" customWidth="1"/>
    <col min="6413" max="6413" width="13.6640625" style="214" customWidth="1"/>
    <col min="6414" max="6656" width="12.1640625" style="214"/>
    <col min="6657" max="6657" width="9.33203125" style="214" customWidth="1"/>
    <col min="6658" max="6658" width="20.33203125" style="214" customWidth="1"/>
    <col min="6659" max="6659" width="14" style="214" customWidth="1"/>
    <col min="6660" max="6660" width="13.83203125" style="214" customWidth="1"/>
    <col min="6661" max="6661" width="14.5" style="214" customWidth="1"/>
    <col min="6662" max="6662" width="11.6640625" style="214" customWidth="1"/>
    <col min="6663" max="6664" width="17.1640625" style="214" customWidth="1"/>
    <col min="6665" max="6665" width="16.33203125" style="214" customWidth="1"/>
    <col min="6666" max="6666" width="17" style="214" customWidth="1"/>
    <col min="6667" max="6667" width="13.6640625" style="214" customWidth="1"/>
    <col min="6668" max="6668" width="15.5" style="214" customWidth="1"/>
    <col min="6669" max="6669" width="13.6640625" style="214" customWidth="1"/>
    <col min="6670" max="6912" width="12.1640625" style="214"/>
    <col min="6913" max="6913" width="9.33203125" style="214" customWidth="1"/>
    <col min="6914" max="6914" width="20.33203125" style="214" customWidth="1"/>
    <col min="6915" max="6915" width="14" style="214" customWidth="1"/>
    <col min="6916" max="6916" width="13.83203125" style="214" customWidth="1"/>
    <col min="6917" max="6917" width="14.5" style="214" customWidth="1"/>
    <col min="6918" max="6918" width="11.6640625" style="214" customWidth="1"/>
    <col min="6919" max="6920" width="17.1640625" style="214" customWidth="1"/>
    <col min="6921" max="6921" width="16.33203125" style="214" customWidth="1"/>
    <col min="6922" max="6922" width="17" style="214" customWidth="1"/>
    <col min="6923" max="6923" width="13.6640625" style="214" customWidth="1"/>
    <col min="6924" max="6924" width="15.5" style="214" customWidth="1"/>
    <col min="6925" max="6925" width="13.6640625" style="214" customWidth="1"/>
    <col min="6926" max="7168" width="12.1640625" style="214"/>
    <col min="7169" max="7169" width="9.33203125" style="214" customWidth="1"/>
    <col min="7170" max="7170" width="20.33203125" style="214" customWidth="1"/>
    <col min="7171" max="7171" width="14" style="214" customWidth="1"/>
    <col min="7172" max="7172" width="13.83203125" style="214" customWidth="1"/>
    <col min="7173" max="7173" width="14.5" style="214" customWidth="1"/>
    <col min="7174" max="7174" width="11.6640625" style="214" customWidth="1"/>
    <col min="7175" max="7176" width="17.1640625" style="214" customWidth="1"/>
    <col min="7177" max="7177" width="16.33203125" style="214" customWidth="1"/>
    <col min="7178" max="7178" width="17" style="214" customWidth="1"/>
    <col min="7179" max="7179" width="13.6640625" style="214" customWidth="1"/>
    <col min="7180" max="7180" width="15.5" style="214" customWidth="1"/>
    <col min="7181" max="7181" width="13.6640625" style="214" customWidth="1"/>
    <col min="7182" max="7424" width="12.1640625" style="214"/>
    <col min="7425" max="7425" width="9.33203125" style="214" customWidth="1"/>
    <col min="7426" max="7426" width="20.33203125" style="214" customWidth="1"/>
    <col min="7427" max="7427" width="14" style="214" customWidth="1"/>
    <col min="7428" max="7428" width="13.83203125" style="214" customWidth="1"/>
    <col min="7429" max="7429" width="14.5" style="214" customWidth="1"/>
    <col min="7430" max="7430" width="11.6640625" style="214" customWidth="1"/>
    <col min="7431" max="7432" width="17.1640625" style="214" customWidth="1"/>
    <col min="7433" max="7433" width="16.33203125" style="214" customWidth="1"/>
    <col min="7434" max="7434" width="17" style="214" customWidth="1"/>
    <col min="7435" max="7435" width="13.6640625" style="214" customWidth="1"/>
    <col min="7436" max="7436" width="15.5" style="214" customWidth="1"/>
    <col min="7437" max="7437" width="13.6640625" style="214" customWidth="1"/>
    <col min="7438" max="7680" width="12.1640625" style="214"/>
    <col min="7681" max="7681" width="9.33203125" style="214" customWidth="1"/>
    <col min="7682" max="7682" width="20.33203125" style="214" customWidth="1"/>
    <col min="7683" max="7683" width="14" style="214" customWidth="1"/>
    <col min="7684" max="7684" width="13.83203125" style="214" customWidth="1"/>
    <col min="7685" max="7685" width="14.5" style="214" customWidth="1"/>
    <col min="7686" max="7686" width="11.6640625" style="214" customWidth="1"/>
    <col min="7687" max="7688" width="17.1640625" style="214" customWidth="1"/>
    <col min="7689" max="7689" width="16.33203125" style="214" customWidth="1"/>
    <col min="7690" max="7690" width="17" style="214" customWidth="1"/>
    <col min="7691" max="7691" width="13.6640625" style="214" customWidth="1"/>
    <col min="7692" max="7692" width="15.5" style="214" customWidth="1"/>
    <col min="7693" max="7693" width="13.6640625" style="214" customWidth="1"/>
    <col min="7694" max="7936" width="12.1640625" style="214"/>
    <col min="7937" max="7937" width="9.33203125" style="214" customWidth="1"/>
    <col min="7938" max="7938" width="20.33203125" style="214" customWidth="1"/>
    <col min="7939" max="7939" width="14" style="214" customWidth="1"/>
    <col min="7940" max="7940" width="13.83203125" style="214" customWidth="1"/>
    <col min="7941" max="7941" width="14.5" style="214" customWidth="1"/>
    <col min="7942" max="7942" width="11.6640625" style="214" customWidth="1"/>
    <col min="7943" max="7944" width="17.1640625" style="214" customWidth="1"/>
    <col min="7945" max="7945" width="16.33203125" style="214" customWidth="1"/>
    <col min="7946" max="7946" width="17" style="214" customWidth="1"/>
    <col min="7947" max="7947" width="13.6640625" style="214" customWidth="1"/>
    <col min="7948" max="7948" width="15.5" style="214" customWidth="1"/>
    <col min="7949" max="7949" width="13.6640625" style="214" customWidth="1"/>
    <col min="7950" max="8192" width="12.1640625" style="214"/>
    <col min="8193" max="8193" width="9.33203125" style="214" customWidth="1"/>
    <col min="8194" max="8194" width="20.33203125" style="214" customWidth="1"/>
    <col min="8195" max="8195" width="14" style="214" customWidth="1"/>
    <col min="8196" max="8196" width="13.83203125" style="214" customWidth="1"/>
    <col min="8197" max="8197" width="14.5" style="214" customWidth="1"/>
    <col min="8198" max="8198" width="11.6640625" style="214" customWidth="1"/>
    <col min="8199" max="8200" width="17.1640625" style="214" customWidth="1"/>
    <col min="8201" max="8201" width="16.33203125" style="214" customWidth="1"/>
    <col min="8202" max="8202" width="17" style="214" customWidth="1"/>
    <col min="8203" max="8203" width="13.6640625" style="214" customWidth="1"/>
    <col min="8204" max="8204" width="15.5" style="214" customWidth="1"/>
    <col min="8205" max="8205" width="13.6640625" style="214" customWidth="1"/>
    <col min="8206" max="8448" width="12.1640625" style="214"/>
    <col min="8449" max="8449" width="9.33203125" style="214" customWidth="1"/>
    <col min="8450" max="8450" width="20.33203125" style="214" customWidth="1"/>
    <col min="8451" max="8451" width="14" style="214" customWidth="1"/>
    <col min="8452" max="8452" width="13.83203125" style="214" customWidth="1"/>
    <col min="8453" max="8453" width="14.5" style="214" customWidth="1"/>
    <col min="8454" max="8454" width="11.6640625" style="214" customWidth="1"/>
    <col min="8455" max="8456" width="17.1640625" style="214" customWidth="1"/>
    <col min="8457" max="8457" width="16.33203125" style="214" customWidth="1"/>
    <col min="8458" max="8458" width="17" style="214" customWidth="1"/>
    <col min="8459" max="8459" width="13.6640625" style="214" customWidth="1"/>
    <col min="8460" max="8460" width="15.5" style="214" customWidth="1"/>
    <col min="8461" max="8461" width="13.6640625" style="214" customWidth="1"/>
    <col min="8462" max="8704" width="12.1640625" style="214"/>
    <col min="8705" max="8705" width="9.33203125" style="214" customWidth="1"/>
    <col min="8706" max="8706" width="20.33203125" style="214" customWidth="1"/>
    <col min="8707" max="8707" width="14" style="214" customWidth="1"/>
    <col min="8708" max="8708" width="13.83203125" style="214" customWidth="1"/>
    <col min="8709" max="8709" width="14.5" style="214" customWidth="1"/>
    <col min="8710" max="8710" width="11.6640625" style="214" customWidth="1"/>
    <col min="8711" max="8712" width="17.1640625" style="214" customWidth="1"/>
    <col min="8713" max="8713" width="16.33203125" style="214" customWidth="1"/>
    <col min="8714" max="8714" width="17" style="214" customWidth="1"/>
    <col min="8715" max="8715" width="13.6640625" style="214" customWidth="1"/>
    <col min="8716" max="8716" width="15.5" style="214" customWidth="1"/>
    <col min="8717" max="8717" width="13.6640625" style="214" customWidth="1"/>
    <col min="8718" max="8960" width="12.1640625" style="214"/>
    <col min="8961" max="8961" width="9.33203125" style="214" customWidth="1"/>
    <col min="8962" max="8962" width="20.33203125" style="214" customWidth="1"/>
    <col min="8963" max="8963" width="14" style="214" customWidth="1"/>
    <col min="8964" max="8964" width="13.83203125" style="214" customWidth="1"/>
    <col min="8965" max="8965" width="14.5" style="214" customWidth="1"/>
    <col min="8966" max="8966" width="11.6640625" style="214" customWidth="1"/>
    <col min="8967" max="8968" width="17.1640625" style="214" customWidth="1"/>
    <col min="8969" max="8969" width="16.33203125" style="214" customWidth="1"/>
    <col min="8970" max="8970" width="17" style="214" customWidth="1"/>
    <col min="8971" max="8971" width="13.6640625" style="214" customWidth="1"/>
    <col min="8972" max="8972" width="15.5" style="214" customWidth="1"/>
    <col min="8973" max="8973" width="13.6640625" style="214" customWidth="1"/>
    <col min="8974" max="9216" width="12.1640625" style="214"/>
    <col min="9217" max="9217" width="9.33203125" style="214" customWidth="1"/>
    <col min="9218" max="9218" width="20.33203125" style="214" customWidth="1"/>
    <col min="9219" max="9219" width="14" style="214" customWidth="1"/>
    <col min="9220" max="9220" width="13.83203125" style="214" customWidth="1"/>
    <col min="9221" max="9221" width="14.5" style="214" customWidth="1"/>
    <col min="9222" max="9222" width="11.6640625" style="214" customWidth="1"/>
    <col min="9223" max="9224" width="17.1640625" style="214" customWidth="1"/>
    <col min="9225" max="9225" width="16.33203125" style="214" customWidth="1"/>
    <col min="9226" max="9226" width="17" style="214" customWidth="1"/>
    <col min="9227" max="9227" width="13.6640625" style="214" customWidth="1"/>
    <col min="9228" max="9228" width="15.5" style="214" customWidth="1"/>
    <col min="9229" max="9229" width="13.6640625" style="214" customWidth="1"/>
    <col min="9230" max="9472" width="12.1640625" style="214"/>
    <col min="9473" max="9473" width="9.33203125" style="214" customWidth="1"/>
    <col min="9474" max="9474" width="20.33203125" style="214" customWidth="1"/>
    <col min="9475" max="9475" width="14" style="214" customWidth="1"/>
    <col min="9476" max="9476" width="13.83203125" style="214" customWidth="1"/>
    <col min="9477" max="9477" width="14.5" style="214" customWidth="1"/>
    <col min="9478" max="9478" width="11.6640625" style="214" customWidth="1"/>
    <col min="9479" max="9480" width="17.1640625" style="214" customWidth="1"/>
    <col min="9481" max="9481" width="16.33203125" style="214" customWidth="1"/>
    <col min="9482" max="9482" width="17" style="214" customWidth="1"/>
    <col min="9483" max="9483" width="13.6640625" style="214" customWidth="1"/>
    <col min="9484" max="9484" width="15.5" style="214" customWidth="1"/>
    <col min="9485" max="9485" width="13.6640625" style="214" customWidth="1"/>
    <col min="9486" max="9728" width="12.1640625" style="214"/>
    <col min="9729" max="9729" width="9.33203125" style="214" customWidth="1"/>
    <col min="9730" max="9730" width="20.33203125" style="214" customWidth="1"/>
    <col min="9731" max="9731" width="14" style="214" customWidth="1"/>
    <col min="9732" max="9732" width="13.83203125" style="214" customWidth="1"/>
    <col min="9733" max="9733" width="14.5" style="214" customWidth="1"/>
    <col min="9734" max="9734" width="11.6640625" style="214" customWidth="1"/>
    <col min="9735" max="9736" width="17.1640625" style="214" customWidth="1"/>
    <col min="9737" max="9737" width="16.33203125" style="214" customWidth="1"/>
    <col min="9738" max="9738" width="17" style="214" customWidth="1"/>
    <col min="9739" max="9739" width="13.6640625" style="214" customWidth="1"/>
    <col min="9740" max="9740" width="15.5" style="214" customWidth="1"/>
    <col min="9741" max="9741" width="13.6640625" style="214" customWidth="1"/>
    <col min="9742" max="9984" width="12.1640625" style="214"/>
    <col min="9985" max="9985" width="9.33203125" style="214" customWidth="1"/>
    <col min="9986" max="9986" width="20.33203125" style="214" customWidth="1"/>
    <col min="9987" max="9987" width="14" style="214" customWidth="1"/>
    <col min="9988" max="9988" width="13.83203125" style="214" customWidth="1"/>
    <col min="9989" max="9989" width="14.5" style="214" customWidth="1"/>
    <col min="9990" max="9990" width="11.6640625" style="214" customWidth="1"/>
    <col min="9991" max="9992" width="17.1640625" style="214" customWidth="1"/>
    <col min="9993" max="9993" width="16.33203125" style="214" customWidth="1"/>
    <col min="9994" max="9994" width="17" style="214" customWidth="1"/>
    <col min="9995" max="9995" width="13.6640625" style="214" customWidth="1"/>
    <col min="9996" max="9996" width="15.5" style="214" customWidth="1"/>
    <col min="9997" max="9997" width="13.6640625" style="214" customWidth="1"/>
    <col min="9998" max="10240" width="12.1640625" style="214"/>
    <col min="10241" max="10241" width="9.33203125" style="214" customWidth="1"/>
    <col min="10242" max="10242" width="20.33203125" style="214" customWidth="1"/>
    <col min="10243" max="10243" width="14" style="214" customWidth="1"/>
    <col min="10244" max="10244" width="13.83203125" style="214" customWidth="1"/>
    <col min="10245" max="10245" width="14.5" style="214" customWidth="1"/>
    <col min="10246" max="10246" width="11.6640625" style="214" customWidth="1"/>
    <col min="10247" max="10248" width="17.1640625" style="214" customWidth="1"/>
    <col min="10249" max="10249" width="16.33203125" style="214" customWidth="1"/>
    <col min="10250" max="10250" width="17" style="214" customWidth="1"/>
    <col min="10251" max="10251" width="13.6640625" style="214" customWidth="1"/>
    <col min="10252" max="10252" width="15.5" style="214" customWidth="1"/>
    <col min="10253" max="10253" width="13.6640625" style="214" customWidth="1"/>
    <col min="10254" max="10496" width="12.1640625" style="214"/>
    <col min="10497" max="10497" width="9.33203125" style="214" customWidth="1"/>
    <col min="10498" max="10498" width="20.33203125" style="214" customWidth="1"/>
    <col min="10499" max="10499" width="14" style="214" customWidth="1"/>
    <col min="10500" max="10500" width="13.83203125" style="214" customWidth="1"/>
    <col min="10501" max="10501" width="14.5" style="214" customWidth="1"/>
    <col min="10502" max="10502" width="11.6640625" style="214" customWidth="1"/>
    <col min="10503" max="10504" width="17.1640625" style="214" customWidth="1"/>
    <col min="10505" max="10505" width="16.33203125" style="214" customWidth="1"/>
    <col min="10506" max="10506" width="17" style="214" customWidth="1"/>
    <col min="10507" max="10507" width="13.6640625" style="214" customWidth="1"/>
    <col min="10508" max="10508" width="15.5" style="214" customWidth="1"/>
    <col min="10509" max="10509" width="13.6640625" style="214" customWidth="1"/>
    <col min="10510" max="10752" width="12.1640625" style="214"/>
    <col min="10753" max="10753" width="9.33203125" style="214" customWidth="1"/>
    <col min="10754" max="10754" width="20.33203125" style="214" customWidth="1"/>
    <col min="10755" max="10755" width="14" style="214" customWidth="1"/>
    <col min="10756" max="10756" width="13.83203125" style="214" customWidth="1"/>
    <col min="10757" max="10757" width="14.5" style="214" customWidth="1"/>
    <col min="10758" max="10758" width="11.6640625" style="214" customWidth="1"/>
    <col min="10759" max="10760" width="17.1640625" style="214" customWidth="1"/>
    <col min="10761" max="10761" width="16.33203125" style="214" customWidth="1"/>
    <col min="10762" max="10762" width="17" style="214" customWidth="1"/>
    <col min="10763" max="10763" width="13.6640625" style="214" customWidth="1"/>
    <col min="10764" max="10764" width="15.5" style="214" customWidth="1"/>
    <col min="10765" max="10765" width="13.6640625" style="214" customWidth="1"/>
    <col min="10766" max="11008" width="12.1640625" style="214"/>
    <col min="11009" max="11009" width="9.33203125" style="214" customWidth="1"/>
    <col min="11010" max="11010" width="20.33203125" style="214" customWidth="1"/>
    <col min="11011" max="11011" width="14" style="214" customWidth="1"/>
    <col min="11012" max="11012" width="13.83203125" style="214" customWidth="1"/>
    <col min="11013" max="11013" width="14.5" style="214" customWidth="1"/>
    <col min="11014" max="11014" width="11.6640625" style="214" customWidth="1"/>
    <col min="11015" max="11016" width="17.1640625" style="214" customWidth="1"/>
    <col min="11017" max="11017" width="16.33203125" style="214" customWidth="1"/>
    <col min="11018" max="11018" width="17" style="214" customWidth="1"/>
    <col min="11019" max="11019" width="13.6640625" style="214" customWidth="1"/>
    <col min="11020" max="11020" width="15.5" style="214" customWidth="1"/>
    <col min="11021" max="11021" width="13.6640625" style="214" customWidth="1"/>
    <col min="11022" max="11264" width="12.1640625" style="214"/>
    <col min="11265" max="11265" width="9.33203125" style="214" customWidth="1"/>
    <col min="11266" max="11266" width="20.33203125" style="214" customWidth="1"/>
    <col min="11267" max="11267" width="14" style="214" customWidth="1"/>
    <col min="11268" max="11268" width="13.83203125" style="214" customWidth="1"/>
    <col min="11269" max="11269" width="14.5" style="214" customWidth="1"/>
    <col min="11270" max="11270" width="11.6640625" style="214" customWidth="1"/>
    <col min="11271" max="11272" width="17.1640625" style="214" customWidth="1"/>
    <col min="11273" max="11273" width="16.33203125" style="214" customWidth="1"/>
    <col min="11274" max="11274" width="17" style="214" customWidth="1"/>
    <col min="11275" max="11275" width="13.6640625" style="214" customWidth="1"/>
    <col min="11276" max="11276" width="15.5" style="214" customWidth="1"/>
    <col min="11277" max="11277" width="13.6640625" style="214" customWidth="1"/>
    <col min="11278" max="11520" width="12.1640625" style="214"/>
    <col min="11521" max="11521" width="9.33203125" style="214" customWidth="1"/>
    <col min="11522" max="11522" width="20.33203125" style="214" customWidth="1"/>
    <col min="11523" max="11523" width="14" style="214" customWidth="1"/>
    <col min="11524" max="11524" width="13.83203125" style="214" customWidth="1"/>
    <col min="11525" max="11525" width="14.5" style="214" customWidth="1"/>
    <col min="11526" max="11526" width="11.6640625" style="214" customWidth="1"/>
    <col min="11527" max="11528" width="17.1640625" style="214" customWidth="1"/>
    <col min="11529" max="11529" width="16.33203125" style="214" customWidth="1"/>
    <col min="11530" max="11530" width="17" style="214" customWidth="1"/>
    <col min="11531" max="11531" width="13.6640625" style="214" customWidth="1"/>
    <col min="11532" max="11532" width="15.5" style="214" customWidth="1"/>
    <col min="11533" max="11533" width="13.6640625" style="214" customWidth="1"/>
    <col min="11534" max="11776" width="12.1640625" style="214"/>
    <col min="11777" max="11777" width="9.33203125" style="214" customWidth="1"/>
    <col min="11778" max="11778" width="20.33203125" style="214" customWidth="1"/>
    <col min="11779" max="11779" width="14" style="214" customWidth="1"/>
    <col min="11780" max="11780" width="13.83203125" style="214" customWidth="1"/>
    <col min="11781" max="11781" width="14.5" style="214" customWidth="1"/>
    <col min="11782" max="11782" width="11.6640625" style="214" customWidth="1"/>
    <col min="11783" max="11784" width="17.1640625" style="214" customWidth="1"/>
    <col min="11785" max="11785" width="16.33203125" style="214" customWidth="1"/>
    <col min="11786" max="11786" width="17" style="214" customWidth="1"/>
    <col min="11787" max="11787" width="13.6640625" style="214" customWidth="1"/>
    <col min="11788" max="11788" width="15.5" style="214" customWidth="1"/>
    <col min="11789" max="11789" width="13.6640625" style="214" customWidth="1"/>
    <col min="11790" max="12032" width="12.1640625" style="214"/>
    <col min="12033" max="12033" width="9.33203125" style="214" customWidth="1"/>
    <col min="12034" max="12034" width="20.33203125" style="214" customWidth="1"/>
    <col min="12035" max="12035" width="14" style="214" customWidth="1"/>
    <col min="12036" max="12036" width="13.83203125" style="214" customWidth="1"/>
    <col min="12037" max="12037" width="14.5" style="214" customWidth="1"/>
    <col min="12038" max="12038" width="11.6640625" style="214" customWidth="1"/>
    <col min="12039" max="12040" width="17.1640625" style="214" customWidth="1"/>
    <col min="12041" max="12041" width="16.33203125" style="214" customWidth="1"/>
    <col min="12042" max="12042" width="17" style="214" customWidth="1"/>
    <col min="12043" max="12043" width="13.6640625" style="214" customWidth="1"/>
    <col min="12044" max="12044" width="15.5" style="214" customWidth="1"/>
    <col min="12045" max="12045" width="13.6640625" style="214" customWidth="1"/>
    <col min="12046" max="12288" width="12.1640625" style="214"/>
    <col min="12289" max="12289" width="9.33203125" style="214" customWidth="1"/>
    <col min="12290" max="12290" width="20.33203125" style="214" customWidth="1"/>
    <col min="12291" max="12291" width="14" style="214" customWidth="1"/>
    <col min="12292" max="12292" width="13.83203125" style="214" customWidth="1"/>
    <col min="12293" max="12293" width="14.5" style="214" customWidth="1"/>
    <col min="12294" max="12294" width="11.6640625" style="214" customWidth="1"/>
    <col min="12295" max="12296" width="17.1640625" style="214" customWidth="1"/>
    <col min="12297" max="12297" width="16.33203125" style="214" customWidth="1"/>
    <col min="12298" max="12298" width="17" style="214" customWidth="1"/>
    <col min="12299" max="12299" width="13.6640625" style="214" customWidth="1"/>
    <col min="12300" max="12300" width="15.5" style="214" customWidth="1"/>
    <col min="12301" max="12301" width="13.6640625" style="214" customWidth="1"/>
    <col min="12302" max="12544" width="12.1640625" style="214"/>
    <col min="12545" max="12545" width="9.33203125" style="214" customWidth="1"/>
    <col min="12546" max="12546" width="20.33203125" style="214" customWidth="1"/>
    <col min="12547" max="12547" width="14" style="214" customWidth="1"/>
    <col min="12548" max="12548" width="13.83203125" style="214" customWidth="1"/>
    <col min="12549" max="12549" width="14.5" style="214" customWidth="1"/>
    <col min="12550" max="12550" width="11.6640625" style="214" customWidth="1"/>
    <col min="12551" max="12552" width="17.1640625" style="214" customWidth="1"/>
    <col min="12553" max="12553" width="16.33203125" style="214" customWidth="1"/>
    <col min="12554" max="12554" width="17" style="214" customWidth="1"/>
    <col min="12555" max="12555" width="13.6640625" style="214" customWidth="1"/>
    <col min="12556" max="12556" width="15.5" style="214" customWidth="1"/>
    <col min="12557" max="12557" width="13.6640625" style="214" customWidth="1"/>
    <col min="12558" max="12800" width="12.1640625" style="214"/>
    <col min="12801" max="12801" width="9.33203125" style="214" customWidth="1"/>
    <col min="12802" max="12802" width="20.33203125" style="214" customWidth="1"/>
    <col min="12803" max="12803" width="14" style="214" customWidth="1"/>
    <col min="12804" max="12804" width="13.83203125" style="214" customWidth="1"/>
    <col min="12805" max="12805" width="14.5" style="214" customWidth="1"/>
    <col min="12806" max="12806" width="11.6640625" style="214" customWidth="1"/>
    <col min="12807" max="12808" width="17.1640625" style="214" customWidth="1"/>
    <col min="12809" max="12809" width="16.33203125" style="214" customWidth="1"/>
    <col min="12810" max="12810" width="17" style="214" customWidth="1"/>
    <col min="12811" max="12811" width="13.6640625" style="214" customWidth="1"/>
    <col min="12812" max="12812" width="15.5" style="214" customWidth="1"/>
    <col min="12813" max="12813" width="13.6640625" style="214" customWidth="1"/>
    <col min="12814" max="13056" width="12.1640625" style="214"/>
    <col min="13057" max="13057" width="9.33203125" style="214" customWidth="1"/>
    <col min="13058" max="13058" width="20.33203125" style="214" customWidth="1"/>
    <col min="13059" max="13059" width="14" style="214" customWidth="1"/>
    <col min="13060" max="13060" width="13.83203125" style="214" customWidth="1"/>
    <col min="13061" max="13061" width="14.5" style="214" customWidth="1"/>
    <col min="13062" max="13062" width="11.6640625" style="214" customWidth="1"/>
    <col min="13063" max="13064" width="17.1640625" style="214" customWidth="1"/>
    <col min="13065" max="13065" width="16.33203125" style="214" customWidth="1"/>
    <col min="13066" max="13066" width="17" style="214" customWidth="1"/>
    <col min="13067" max="13067" width="13.6640625" style="214" customWidth="1"/>
    <col min="13068" max="13068" width="15.5" style="214" customWidth="1"/>
    <col min="13069" max="13069" width="13.6640625" style="214" customWidth="1"/>
    <col min="13070" max="13312" width="12.1640625" style="214"/>
    <col min="13313" max="13313" width="9.33203125" style="214" customWidth="1"/>
    <col min="13314" max="13314" width="20.33203125" style="214" customWidth="1"/>
    <col min="13315" max="13315" width="14" style="214" customWidth="1"/>
    <col min="13316" max="13316" width="13.83203125" style="214" customWidth="1"/>
    <col min="13317" max="13317" width="14.5" style="214" customWidth="1"/>
    <col min="13318" max="13318" width="11.6640625" style="214" customWidth="1"/>
    <col min="13319" max="13320" width="17.1640625" style="214" customWidth="1"/>
    <col min="13321" max="13321" width="16.33203125" style="214" customWidth="1"/>
    <col min="13322" max="13322" width="17" style="214" customWidth="1"/>
    <col min="13323" max="13323" width="13.6640625" style="214" customWidth="1"/>
    <col min="13324" max="13324" width="15.5" style="214" customWidth="1"/>
    <col min="13325" max="13325" width="13.6640625" style="214" customWidth="1"/>
    <col min="13326" max="13568" width="12.1640625" style="214"/>
    <col min="13569" max="13569" width="9.33203125" style="214" customWidth="1"/>
    <col min="13570" max="13570" width="20.33203125" style="214" customWidth="1"/>
    <col min="13571" max="13571" width="14" style="214" customWidth="1"/>
    <col min="13572" max="13572" width="13.83203125" style="214" customWidth="1"/>
    <col min="13573" max="13573" width="14.5" style="214" customWidth="1"/>
    <col min="13574" max="13574" width="11.6640625" style="214" customWidth="1"/>
    <col min="13575" max="13576" width="17.1640625" style="214" customWidth="1"/>
    <col min="13577" max="13577" width="16.33203125" style="214" customWidth="1"/>
    <col min="13578" max="13578" width="17" style="214" customWidth="1"/>
    <col min="13579" max="13579" width="13.6640625" style="214" customWidth="1"/>
    <col min="13580" max="13580" width="15.5" style="214" customWidth="1"/>
    <col min="13581" max="13581" width="13.6640625" style="214" customWidth="1"/>
    <col min="13582" max="13824" width="12.1640625" style="214"/>
    <col min="13825" max="13825" width="9.33203125" style="214" customWidth="1"/>
    <col min="13826" max="13826" width="20.33203125" style="214" customWidth="1"/>
    <col min="13827" max="13827" width="14" style="214" customWidth="1"/>
    <col min="13828" max="13828" width="13.83203125" style="214" customWidth="1"/>
    <col min="13829" max="13829" width="14.5" style="214" customWidth="1"/>
    <col min="13830" max="13830" width="11.6640625" style="214" customWidth="1"/>
    <col min="13831" max="13832" width="17.1640625" style="214" customWidth="1"/>
    <col min="13833" max="13833" width="16.33203125" style="214" customWidth="1"/>
    <col min="13834" max="13834" width="17" style="214" customWidth="1"/>
    <col min="13835" max="13835" width="13.6640625" style="214" customWidth="1"/>
    <col min="13836" max="13836" width="15.5" style="214" customWidth="1"/>
    <col min="13837" max="13837" width="13.6640625" style="214" customWidth="1"/>
    <col min="13838" max="14080" width="12.1640625" style="214"/>
    <col min="14081" max="14081" width="9.33203125" style="214" customWidth="1"/>
    <col min="14082" max="14082" width="20.33203125" style="214" customWidth="1"/>
    <col min="14083" max="14083" width="14" style="214" customWidth="1"/>
    <col min="14084" max="14084" width="13.83203125" style="214" customWidth="1"/>
    <col min="14085" max="14085" width="14.5" style="214" customWidth="1"/>
    <col min="14086" max="14086" width="11.6640625" style="214" customWidth="1"/>
    <col min="14087" max="14088" width="17.1640625" style="214" customWidth="1"/>
    <col min="14089" max="14089" width="16.33203125" style="214" customWidth="1"/>
    <col min="14090" max="14090" width="17" style="214" customWidth="1"/>
    <col min="14091" max="14091" width="13.6640625" style="214" customWidth="1"/>
    <col min="14092" max="14092" width="15.5" style="214" customWidth="1"/>
    <col min="14093" max="14093" width="13.6640625" style="214" customWidth="1"/>
    <col min="14094" max="14336" width="12.1640625" style="214"/>
    <col min="14337" max="14337" width="9.33203125" style="214" customWidth="1"/>
    <col min="14338" max="14338" width="20.33203125" style="214" customWidth="1"/>
    <col min="14339" max="14339" width="14" style="214" customWidth="1"/>
    <col min="14340" max="14340" width="13.83203125" style="214" customWidth="1"/>
    <col min="14341" max="14341" width="14.5" style="214" customWidth="1"/>
    <col min="14342" max="14342" width="11.6640625" style="214" customWidth="1"/>
    <col min="14343" max="14344" width="17.1640625" style="214" customWidth="1"/>
    <col min="14345" max="14345" width="16.33203125" style="214" customWidth="1"/>
    <col min="14346" max="14346" width="17" style="214" customWidth="1"/>
    <col min="14347" max="14347" width="13.6640625" style="214" customWidth="1"/>
    <col min="14348" max="14348" width="15.5" style="214" customWidth="1"/>
    <col min="14349" max="14349" width="13.6640625" style="214" customWidth="1"/>
    <col min="14350" max="14592" width="12.1640625" style="214"/>
    <col min="14593" max="14593" width="9.33203125" style="214" customWidth="1"/>
    <col min="14594" max="14594" width="20.33203125" style="214" customWidth="1"/>
    <col min="14595" max="14595" width="14" style="214" customWidth="1"/>
    <col min="14596" max="14596" width="13.83203125" style="214" customWidth="1"/>
    <col min="14597" max="14597" width="14.5" style="214" customWidth="1"/>
    <col min="14598" max="14598" width="11.6640625" style="214" customWidth="1"/>
    <col min="14599" max="14600" width="17.1640625" style="214" customWidth="1"/>
    <col min="14601" max="14601" width="16.33203125" style="214" customWidth="1"/>
    <col min="14602" max="14602" width="17" style="214" customWidth="1"/>
    <col min="14603" max="14603" width="13.6640625" style="214" customWidth="1"/>
    <col min="14604" max="14604" width="15.5" style="214" customWidth="1"/>
    <col min="14605" max="14605" width="13.6640625" style="214" customWidth="1"/>
    <col min="14606" max="14848" width="12.1640625" style="214"/>
    <col min="14849" max="14849" width="9.33203125" style="214" customWidth="1"/>
    <col min="14850" max="14850" width="20.33203125" style="214" customWidth="1"/>
    <col min="14851" max="14851" width="14" style="214" customWidth="1"/>
    <col min="14852" max="14852" width="13.83203125" style="214" customWidth="1"/>
    <col min="14853" max="14853" width="14.5" style="214" customWidth="1"/>
    <col min="14854" max="14854" width="11.6640625" style="214" customWidth="1"/>
    <col min="14855" max="14856" width="17.1640625" style="214" customWidth="1"/>
    <col min="14857" max="14857" width="16.33203125" style="214" customWidth="1"/>
    <col min="14858" max="14858" width="17" style="214" customWidth="1"/>
    <col min="14859" max="14859" width="13.6640625" style="214" customWidth="1"/>
    <col min="14860" max="14860" width="15.5" style="214" customWidth="1"/>
    <col min="14861" max="14861" width="13.6640625" style="214" customWidth="1"/>
    <col min="14862" max="15104" width="12.1640625" style="214"/>
    <col min="15105" max="15105" width="9.33203125" style="214" customWidth="1"/>
    <col min="15106" max="15106" width="20.33203125" style="214" customWidth="1"/>
    <col min="15107" max="15107" width="14" style="214" customWidth="1"/>
    <col min="15108" max="15108" width="13.83203125" style="214" customWidth="1"/>
    <col min="15109" max="15109" width="14.5" style="214" customWidth="1"/>
    <col min="15110" max="15110" width="11.6640625" style="214" customWidth="1"/>
    <col min="15111" max="15112" width="17.1640625" style="214" customWidth="1"/>
    <col min="15113" max="15113" width="16.33203125" style="214" customWidth="1"/>
    <col min="15114" max="15114" width="17" style="214" customWidth="1"/>
    <col min="15115" max="15115" width="13.6640625" style="214" customWidth="1"/>
    <col min="15116" max="15116" width="15.5" style="214" customWidth="1"/>
    <col min="15117" max="15117" width="13.6640625" style="214" customWidth="1"/>
    <col min="15118" max="15360" width="12.1640625" style="214"/>
    <col min="15361" max="15361" width="9.33203125" style="214" customWidth="1"/>
    <col min="15362" max="15362" width="20.33203125" style="214" customWidth="1"/>
    <col min="15363" max="15363" width="14" style="214" customWidth="1"/>
    <col min="15364" max="15364" width="13.83203125" style="214" customWidth="1"/>
    <col min="15365" max="15365" width="14.5" style="214" customWidth="1"/>
    <col min="15366" max="15366" width="11.6640625" style="214" customWidth="1"/>
    <col min="15367" max="15368" width="17.1640625" style="214" customWidth="1"/>
    <col min="15369" max="15369" width="16.33203125" style="214" customWidth="1"/>
    <col min="15370" max="15370" width="17" style="214" customWidth="1"/>
    <col min="15371" max="15371" width="13.6640625" style="214" customWidth="1"/>
    <col min="15372" max="15372" width="15.5" style="214" customWidth="1"/>
    <col min="15373" max="15373" width="13.6640625" style="214" customWidth="1"/>
    <col min="15374" max="15616" width="12.1640625" style="214"/>
    <col min="15617" max="15617" width="9.33203125" style="214" customWidth="1"/>
    <col min="15618" max="15618" width="20.33203125" style="214" customWidth="1"/>
    <col min="15619" max="15619" width="14" style="214" customWidth="1"/>
    <col min="15620" max="15620" width="13.83203125" style="214" customWidth="1"/>
    <col min="15621" max="15621" width="14.5" style="214" customWidth="1"/>
    <col min="15622" max="15622" width="11.6640625" style="214" customWidth="1"/>
    <col min="15623" max="15624" width="17.1640625" style="214" customWidth="1"/>
    <col min="15625" max="15625" width="16.33203125" style="214" customWidth="1"/>
    <col min="15626" max="15626" width="17" style="214" customWidth="1"/>
    <col min="15627" max="15627" width="13.6640625" style="214" customWidth="1"/>
    <col min="15628" max="15628" width="15.5" style="214" customWidth="1"/>
    <col min="15629" max="15629" width="13.6640625" style="214" customWidth="1"/>
    <col min="15630" max="15872" width="12.1640625" style="214"/>
    <col min="15873" max="15873" width="9.33203125" style="214" customWidth="1"/>
    <col min="15874" max="15874" width="20.33203125" style="214" customWidth="1"/>
    <col min="15875" max="15875" width="14" style="214" customWidth="1"/>
    <col min="15876" max="15876" width="13.83203125" style="214" customWidth="1"/>
    <col min="15877" max="15877" width="14.5" style="214" customWidth="1"/>
    <col min="15878" max="15878" width="11.6640625" style="214" customWidth="1"/>
    <col min="15879" max="15880" width="17.1640625" style="214" customWidth="1"/>
    <col min="15881" max="15881" width="16.33203125" style="214" customWidth="1"/>
    <col min="15882" max="15882" width="17" style="214" customWidth="1"/>
    <col min="15883" max="15883" width="13.6640625" style="214" customWidth="1"/>
    <col min="15884" max="15884" width="15.5" style="214" customWidth="1"/>
    <col min="15885" max="15885" width="13.6640625" style="214" customWidth="1"/>
    <col min="15886" max="16128" width="12.1640625" style="214"/>
    <col min="16129" max="16129" width="9.33203125" style="214" customWidth="1"/>
    <col min="16130" max="16130" width="20.33203125" style="214" customWidth="1"/>
    <col min="16131" max="16131" width="14" style="214" customWidth="1"/>
    <col min="16132" max="16132" width="13.83203125" style="214" customWidth="1"/>
    <col min="16133" max="16133" width="14.5" style="214" customWidth="1"/>
    <col min="16134" max="16134" width="11.6640625" style="214" customWidth="1"/>
    <col min="16135" max="16136" width="17.1640625" style="214" customWidth="1"/>
    <col min="16137" max="16137" width="16.33203125" style="214" customWidth="1"/>
    <col min="16138" max="16138" width="17" style="214" customWidth="1"/>
    <col min="16139" max="16139" width="13.6640625" style="214" customWidth="1"/>
    <col min="16140" max="16140" width="15.5" style="214" customWidth="1"/>
    <col min="16141" max="16141" width="13.6640625" style="214" customWidth="1"/>
    <col min="16142" max="16384" width="12.1640625" style="214"/>
  </cols>
  <sheetData>
    <row r="1" spans="1:13">
      <c r="A1" s="226" t="s">
        <v>294</v>
      </c>
      <c r="B1" s="227"/>
      <c r="C1" s="227"/>
      <c r="D1" s="228"/>
      <c r="E1" s="228"/>
      <c r="F1" s="228"/>
      <c r="G1" s="228"/>
      <c r="H1" s="228"/>
      <c r="I1" s="228"/>
      <c r="J1" s="228"/>
      <c r="K1" s="228"/>
      <c r="L1" s="228"/>
    </row>
    <row r="2" spans="1:13">
      <c r="B2" s="227"/>
      <c r="C2" s="227"/>
      <c r="D2" s="228"/>
      <c r="E2" s="228"/>
      <c r="F2" s="228"/>
      <c r="G2" s="228"/>
      <c r="H2" s="228"/>
      <c r="I2" s="228"/>
      <c r="J2" s="228"/>
      <c r="K2" s="228"/>
      <c r="L2" s="228"/>
    </row>
    <row r="3" spans="1:13" s="324" customFormat="1">
      <c r="A3" s="227" t="s">
        <v>388</v>
      </c>
      <c r="B3" s="321"/>
      <c r="C3" s="322"/>
      <c r="D3" s="322"/>
      <c r="E3" s="323"/>
      <c r="F3" s="322"/>
      <c r="G3" s="322"/>
      <c r="H3" s="322"/>
      <c r="I3" s="322"/>
      <c r="J3" s="322"/>
      <c r="K3" s="322"/>
      <c r="L3" s="322"/>
    </row>
    <row r="4" spans="1:13">
      <c r="L4" s="228"/>
    </row>
    <row r="5" spans="1:13">
      <c r="A5" s="196" t="s">
        <v>241</v>
      </c>
      <c r="B5" s="230"/>
      <c r="C5" s="198" t="s">
        <v>242</v>
      </c>
      <c r="D5" s="271"/>
      <c r="E5" s="271"/>
      <c r="F5" s="200" t="s">
        <v>179</v>
      </c>
      <c r="G5" s="173" t="s">
        <v>180</v>
      </c>
      <c r="H5" s="173" t="s">
        <v>180</v>
      </c>
      <c r="I5" s="174" t="s">
        <v>181</v>
      </c>
      <c r="J5" s="175"/>
      <c r="K5" s="173" t="s">
        <v>182</v>
      </c>
      <c r="L5" s="176" t="s">
        <v>183</v>
      </c>
      <c r="M5" s="176"/>
    </row>
    <row r="6" spans="1:13">
      <c r="A6" s="232"/>
      <c r="B6" s="233"/>
      <c r="C6" s="272"/>
      <c r="D6" s="273"/>
      <c r="E6" s="273"/>
      <c r="F6" s="201" t="s">
        <v>185</v>
      </c>
      <c r="G6" s="177" t="s">
        <v>186</v>
      </c>
      <c r="H6" s="177" t="s">
        <v>186</v>
      </c>
      <c r="I6" s="177" t="s">
        <v>187</v>
      </c>
      <c r="J6" s="177" t="s">
        <v>188</v>
      </c>
      <c r="K6" s="177" t="s">
        <v>189</v>
      </c>
      <c r="L6" s="177" t="s">
        <v>187</v>
      </c>
      <c r="M6" s="177" t="s">
        <v>188</v>
      </c>
    </row>
    <row r="7" spans="1:13">
      <c r="A7" s="232"/>
      <c r="B7" s="233"/>
      <c r="C7" s="177" t="s">
        <v>190</v>
      </c>
      <c r="D7" s="177" t="s">
        <v>232</v>
      </c>
      <c r="E7" s="199" t="s">
        <v>196</v>
      </c>
      <c r="F7" s="201" t="s">
        <v>198</v>
      </c>
      <c r="G7" s="177" t="s">
        <v>199</v>
      </c>
      <c r="H7" s="177" t="s">
        <v>199</v>
      </c>
      <c r="I7" s="177" t="s">
        <v>200</v>
      </c>
      <c r="J7" s="177" t="s">
        <v>200</v>
      </c>
      <c r="K7" s="177" t="s">
        <v>201</v>
      </c>
      <c r="L7" s="177" t="s">
        <v>200</v>
      </c>
      <c r="M7" s="177" t="s">
        <v>200</v>
      </c>
    </row>
    <row r="8" spans="1:13">
      <c r="A8" s="236"/>
      <c r="B8" s="237"/>
      <c r="C8" s="177"/>
      <c r="D8" s="177"/>
      <c r="E8" s="199"/>
      <c r="F8" s="202"/>
      <c r="G8" s="177" t="s">
        <v>202</v>
      </c>
      <c r="H8" s="177" t="s">
        <v>203</v>
      </c>
      <c r="I8" s="177" t="s">
        <v>204</v>
      </c>
      <c r="J8" s="177" t="s">
        <v>205</v>
      </c>
      <c r="K8" s="178"/>
      <c r="L8" s="177" t="s">
        <v>204</v>
      </c>
      <c r="M8" s="177" t="s">
        <v>205</v>
      </c>
    </row>
    <row r="9" spans="1:13">
      <c r="A9" s="326" t="s">
        <v>206</v>
      </c>
      <c r="B9" s="179"/>
      <c r="C9" s="180"/>
      <c r="D9" s="180"/>
      <c r="E9" s="180"/>
      <c r="F9" s="197"/>
      <c r="G9" s="180"/>
      <c r="H9" s="180"/>
      <c r="I9" s="180"/>
      <c r="J9" s="180"/>
      <c r="K9" s="179"/>
      <c r="L9" s="180"/>
      <c r="M9" s="181"/>
    </row>
    <row r="10" spans="1:13">
      <c r="A10" s="182"/>
      <c r="B10" s="238"/>
      <c r="C10" s="274">
        <v>1.0999999999999999E-2</v>
      </c>
      <c r="D10" s="195"/>
      <c r="E10" s="195"/>
      <c r="F10" s="275">
        <f t="shared" ref="F10:F15" si="0">ROUND(C10*(D10/2)^0.65*(E10/3)^1.5,2)</f>
        <v>0</v>
      </c>
      <c r="G10" s="195"/>
      <c r="H10" s="195"/>
      <c r="I10" s="276">
        <f t="shared" ref="I10:I15" si="1">F10*G10/2000</f>
        <v>0</v>
      </c>
      <c r="J10" s="276">
        <f t="shared" ref="J10:J15" si="2">F10*H10</f>
        <v>0</v>
      </c>
      <c r="K10" s="205">
        <v>0.9</v>
      </c>
      <c r="L10" s="276">
        <f t="shared" ref="L10:L15" si="3">I10*(1-K10)</f>
        <v>0</v>
      </c>
      <c r="M10" s="276">
        <f>J10*(1-K10)</f>
        <v>0</v>
      </c>
    </row>
    <row r="11" spans="1:13">
      <c r="A11" s="182"/>
      <c r="B11" s="238"/>
      <c r="C11" s="274">
        <v>1.0999999999999999E-2</v>
      </c>
      <c r="D11" s="195"/>
      <c r="E11" s="195"/>
      <c r="F11" s="275">
        <f t="shared" si="0"/>
        <v>0</v>
      </c>
      <c r="G11" s="195"/>
      <c r="H11" s="195"/>
      <c r="I11" s="276">
        <f t="shared" si="1"/>
        <v>0</v>
      </c>
      <c r="J11" s="276">
        <f t="shared" si="2"/>
        <v>0</v>
      </c>
      <c r="K11" s="205">
        <v>0.9</v>
      </c>
      <c r="L11" s="276">
        <f t="shared" si="3"/>
        <v>0</v>
      </c>
      <c r="M11" s="276">
        <f>J11*(1-K11)</f>
        <v>0</v>
      </c>
    </row>
    <row r="12" spans="1:13">
      <c r="A12" s="182"/>
      <c r="B12" s="238"/>
      <c r="C12" s="274">
        <v>1.0999999999999999E-2</v>
      </c>
      <c r="D12" s="195"/>
      <c r="E12" s="195"/>
      <c r="F12" s="275">
        <f t="shared" si="0"/>
        <v>0</v>
      </c>
      <c r="G12" s="195"/>
      <c r="H12" s="195"/>
      <c r="I12" s="276">
        <f t="shared" si="1"/>
        <v>0</v>
      </c>
      <c r="J12" s="276">
        <f t="shared" si="2"/>
        <v>0</v>
      </c>
      <c r="K12" s="205">
        <v>0.9</v>
      </c>
      <c r="L12" s="276">
        <f t="shared" si="3"/>
        <v>0</v>
      </c>
      <c r="M12" s="276">
        <f>J12*(1-K12)</f>
        <v>0</v>
      </c>
    </row>
    <row r="13" spans="1:13">
      <c r="A13" s="182"/>
      <c r="B13" s="238"/>
      <c r="C13" s="274">
        <v>1.0999999999999999E-2</v>
      </c>
      <c r="D13" s="195"/>
      <c r="E13" s="195"/>
      <c r="F13" s="275">
        <f t="shared" si="0"/>
        <v>0</v>
      </c>
      <c r="G13" s="195"/>
      <c r="H13" s="195"/>
      <c r="I13" s="276">
        <f t="shared" si="1"/>
        <v>0</v>
      </c>
      <c r="J13" s="276">
        <f t="shared" si="2"/>
        <v>0</v>
      </c>
      <c r="K13" s="205">
        <v>0.9</v>
      </c>
      <c r="L13" s="276">
        <f t="shared" si="3"/>
        <v>0</v>
      </c>
      <c r="M13" s="276">
        <f>J13*(1-K13)</f>
        <v>0</v>
      </c>
    </row>
    <row r="14" spans="1:13">
      <c r="A14" s="182"/>
      <c r="B14" s="238"/>
      <c r="C14" s="274">
        <v>1.0999999999999999E-2</v>
      </c>
      <c r="D14" s="195"/>
      <c r="E14" s="195"/>
      <c r="F14" s="275">
        <f t="shared" si="0"/>
        <v>0</v>
      </c>
      <c r="G14" s="195"/>
      <c r="H14" s="195"/>
      <c r="I14" s="276">
        <f t="shared" si="1"/>
        <v>0</v>
      </c>
      <c r="J14" s="276">
        <f t="shared" si="2"/>
        <v>0</v>
      </c>
      <c r="K14" s="205">
        <v>0.9</v>
      </c>
      <c r="L14" s="276">
        <f t="shared" si="3"/>
        <v>0</v>
      </c>
      <c r="M14" s="276">
        <f>J14*(1-K14)</f>
        <v>0</v>
      </c>
    </row>
    <row r="15" spans="1:13">
      <c r="A15" s="216"/>
      <c r="B15" s="247"/>
      <c r="C15" s="284">
        <v>1.0999999999999999E-2</v>
      </c>
      <c r="D15" s="285"/>
      <c r="E15" s="285"/>
      <c r="F15" s="286">
        <f t="shared" si="0"/>
        <v>0</v>
      </c>
      <c r="G15" s="285"/>
      <c r="H15" s="285"/>
      <c r="I15" s="276">
        <f t="shared" si="1"/>
        <v>0</v>
      </c>
      <c r="J15" s="276">
        <f t="shared" si="2"/>
        <v>0</v>
      </c>
      <c r="K15" s="205">
        <v>0.9</v>
      </c>
      <c r="L15" s="276">
        <f t="shared" si="3"/>
        <v>0</v>
      </c>
      <c r="M15" s="276">
        <f>J15*(1-K15)</f>
        <v>0</v>
      </c>
    </row>
    <row r="16" spans="1:13">
      <c r="A16" s="219" t="s">
        <v>209</v>
      </c>
      <c r="B16" s="220"/>
      <c r="C16" s="287"/>
      <c r="D16" s="221"/>
      <c r="E16" s="221"/>
      <c r="F16" s="223"/>
      <c r="G16" s="221"/>
      <c r="H16" s="288"/>
      <c r="I16" s="276">
        <f>SUM(I10:I15)</f>
        <v>0</v>
      </c>
      <c r="J16" s="192" t="s">
        <v>208</v>
      </c>
      <c r="K16" s="205">
        <v>0.9</v>
      </c>
      <c r="L16" s="276">
        <f>SUM(L10:L15)</f>
        <v>0</v>
      </c>
      <c r="M16" s="192" t="s">
        <v>249</v>
      </c>
    </row>
    <row r="17" spans="1:13">
      <c r="C17" s="254"/>
      <c r="D17" s="254"/>
      <c r="E17" s="254"/>
      <c r="F17" s="255"/>
      <c r="G17" s="255"/>
      <c r="H17" s="255"/>
      <c r="I17" s="255"/>
      <c r="J17" s="255"/>
      <c r="K17" s="263"/>
      <c r="L17" s="255"/>
    </row>
    <row r="18" spans="1:13" ht="18">
      <c r="A18" s="320" t="s">
        <v>389</v>
      </c>
      <c r="B18" s="229"/>
      <c r="C18" s="228"/>
      <c r="D18" s="228"/>
      <c r="E18" s="270"/>
      <c r="F18" s="228"/>
      <c r="G18" s="228"/>
      <c r="H18" s="228"/>
      <c r="I18" s="228"/>
      <c r="J18" s="228"/>
      <c r="K18" s="228"/>
      <c r="L18" s="228"/>
    </row>
    <row r="19" spans="1:13">
      <c r="C19" s="254"/>
      <c r="D19" s="254"/>
      <c r="E19" s="254"/>
      <c r="F19" s="255"/>
      <c r="G19" s="255"/>
      <c r="H19" s="255"/>
      <c r="I19" s="255"/>
      <c r="J19" s="255"/>
      <c r="K19" s="263"/>
      <c r="L19" s="255"/>
    </row>
    <row r="20" spans="1:13">
      <c r="A20" s="196" t="s">
        <v>241</v>
      </c>
      <c r="B20" s="230"/>
      <c r="C20" s="198" t="s">
        <v>242</v>
      </c>
      <c r="D20" s="271"/>
      <c r="E20" s="271"/>
      <c r="F20" s="200" t="s">
        <v>179</v>
      </c>
      <c r="G20" s="173" t="s">
        <v>180</v>
      </c>
      <c r="H20" s="173" t="s">
        <v>180</v>
      </c>
      <c r="I20" s="176" t="s">
        <v>181</v>
      </c>
      <c r="J20" s="172"/>
      <c r="K20" s="173" t="s">
        <v>182</v>
      </c>
      <c r="L20" s="176" t="s">
        <v>183</v>
      </c>
      <c r="M20" s="176"/>
    </row>
    <row r="21" spans="1:13">
      <c r="A21" s="232"/>
      <c r="B21" s="233"/>
      <c r="C21" s="272"/>
      <c r="D21" s="273"/>
      <c r="E21" s="273"/>
      <c r="F21" s="201" t="s">
        <v>185</v>
      </c>
      <c r="G21" s="177" t="s">
        <v>186</v>
      </c>
      <c r="H21" s="177" t="s">
        <v>186</v>
      </c>
      <c r="I21" s="177" t="s">
        <v>187</v>
      </c>
      <c r="J21" s="177" t="s">
        <v>188</v>
      </c>
      <c r="K21" s="177" t="s">
        <v>189</v>
      </c>
      <c r="L21" s="177" t="s">
        <v>187</v>
      </c>
      <c r="M21" s="177" t="s">
        <v>188</v>
      </c>
    </row>
    <row r="22" spans="1:13">
      <c r="A22" s="232"/>
      <c r="B22" s="233"/>
      <c r="C22" s="177" t="s">
        <v>190</v>
      </c>
      <c r="D22" s="177" t="s">
        <v>232</v>
      </c>
      <c r="E22" s="199" t="s">
        <v>196</v>
      </c>
      <c r="F22" s="201" t="s">
        <v>198</v>
      </c>
      <c r="G22" s="177" t="s">
        <v>199</v>
      </c>
      <c r="H22" s="177" t="s">
        <v>199</v>
      </c>
      <c r="I22" s="177" t="s">
        <v>200</v>
      </c>
      <c r="J22" s="177" t="s">
        <v>200</v>
      </c>
      <c r="K22" s="177" t="s">
        <v>201</v>
      </c>
      <c r="L22" s="177" t="s">
        <v>200</v>
      </c>
      <c r="M22" s="177" t="s">
        <v>200</v>
      </c>
    </row>
    <row r="23" spans="1:13">
      <c r="A23" s="236"/>
      <c r="B23" s="237"/>
      <c r="C23" s="194"/>
      <c r="D23" s="194"/>
      <c r="E23" s="203"/>
      <c r="F23" s="202"/>
      <c r="G23" s="194" t="s">
        <v>202</v>
      </c>
      <c r="H23" s="194" t="s">
        <v>203</v>
      </c>
      <c r="I23" s="194" t="s">
        <v>204</v>
      </c>
      <c r="J23" s="194" t="s">
        <v>205</v>
      </c>
      <c r="K23" s="193"/>
      <c r="L23" s="194" t="s">
        <v>204</v>
      </c>
      <c r="M23" s="194" t="s">
        <v>205</v>
      </c>
    </row>
    <row r="24" spans="1:13">
      <c r="A24" s="326" t="s">
        <v>206</v>
      </c>
      <c r="B24" s="179"/>
      <c r="C24" s="180"/>
      <c r="D24" s="180"/>
      <c r="E24" s="180"/>
      <c r="F24" s="204"/>
      <c r="G24" s="180"/>
      <c r="H24" s="180"/>
      <c r="I24" s="180"/>
      <c r="J24" s="180"/>
      <c r="K24" s="179"/>
      <c r="L24" s="180"/>
      <c r="M24" s="181"/>
    </row>
    <row r="25" spans="1:13">
      <c r="A25" s="189">
        <f>A10</f>
        <v>0</v>
      </c>
      <c r="B25" s="258"/>
      <c r="C25" s="277">
        <v>2.2000000000000001E-3</v>
      </c>
      <c r="D25" s="278">
        <f>D10</f>
        <v>0</v>
      </c>
      <c r="E25" s="279">
        <f>E10</f>
        <v>0</v>
      </c>
      <c r="F25" s="280">
        <f t="shared" ref="F25:F30" si="4">ROUND(C25*(D25/2)^0.65*(E25/3)^1.5,2)</f>
        <v>0</v>
      </c>
      <c r="G25" s="281">
        <f>+G10</f>
        <v>0</v>
      </c>
      <c r="H25" s="281">
        <f>+H10</f>
        <v>0</v>
      </c>
      <c r="I25" s="276">
        <f t="shared" ref="I25:I30" si="5">F25*G25/2000</f>
        <v>0</v>
      </c>
      <c r="J25" s="276">
        <f>H25*F25</f>
        <v>0</v>
      </c>
      <c r="K25" s="282">
        <f>+K10</f>
        <v>0.9</v>
      </c>
      <c r="L25" s="276">
        <f t="shared" ref="L25:L30" si="6">I25*(1-K25)</f>
        <v>0</v>
      </c>
      <c r="M25" s="276">
        <f>J25*(1-K25)</f>
        <v>0</v>
      </c>
    </row>
    <row r="26" spans="1:13">
      <c r="A26" s="189">
        <f>A11</f>
        <v>0</v>
      </c>
      <c r="B26" s="258"/>
      <c r="C26" s="277">
        <v>2.2000000000000001E-3</v>
      </c>
      <c r="D26" s="278">
        <f>D11</f>
        <v>0</v>
      </c>
      <c r="E26" s="279">
        <f>E11</f>
        <v>0</v>
      </c>
      <c r="F26" s="280">
        <f t="shared" si="4"/>
        <v>0</v>
      </c>
      <c r="G26" s="281">
        <f>+G11</f>
        <v>0</v>
      </c>
      <c r="H26" s="281">
        <f>+H11</f>
        <v>0</v>
      </c>
      <c r="I26" s="276">
        <f t="shared" si="5"/>
        <v>0</v>
      </c>
      <c r="J26" s="276">
        <f>H26*F26</f>
        <v>0</v>
      </c>
      <c r="K26" s="282">
        <f>+K11</f>
        <v>0.9</v>
      </c>
      <c r="L26" s="276">
        <f t="shared" si="6"/>
        <v>0</v>
      </c>
      <c r="M26" s="276">
        <f>J26*(1-K26)</f>
        <v>0</v>
      </c>
    </row>
    <row r="27" spans="1:13">
      <c r="A27" s="189">
        <f>A12</f>
        <v>0</v>
      </c>
      <c r="B27" s="258"/>
      <c r="C27" s="277">
        <v>2.2000000000000001E-3</v>
      </c>
      <c r="D27" s="278">
        <f>D12</f>
        <v>0</v>
      </c>
      <c r="E27" s="279">
        <f>E12</f>
        <v>0</v>
      </c>
      <c r="F27" s="280">
        <f t="shared" si="4"/>
        <v>0</v>
      </c>
      <c r="G27" s="281">
        <f>+G12</f>
        <v>0</v>
      </c>
      <c r="H27" s="281">
        <f>+H12</f>
        <v>0</v>
      </c>
      <c r="I27" s="276">
        <f t="shared" si="5"/>
        <v>0</v>
      </c>
      <c r="J27" s="276">
        <f>H27*F27</f>
        <v>0</v>
      </c>
      <c r="K27" s="282">
        <f>+K12</f>
        <v>0.9</v>
      </c>
      <c r="L27" s="276">
        <f t="shared" si="6"/>
        <v>0</v>
      </c>
      <c r="M27" s="276">
        <f>J27*(1-K27)</f>
        <v>0</v>
      </c>
    </row>
    <row r="28" spans="1:13">
      <c r="A28" s="189">
        <f>A13</f>
        <v>0</v>
      </c>
      <c r="B28" s="258"/>
      <c r="C28" s="277">
        <v>2.2000000000000001E-3</v>
      </c>
      <c r="D28" s="278">
        <f>D13</f>
        <v>0</v>
      </c>
      <c r="E28" s="279">
        <f>E13</f>
        <v>0</v>
      </c>
      <c r="F28" s="280">
        <f t="shared" si="4"/>
        <v>0</v>
      </c>
      <c r="G28" s="281">
        <f>+G13</f>
        <v>0</v>
      </c>
      <c r="H28" s="281">
        <f>+H13</f>
        <v>0</v>
      </c>
      <c r="I28" s="276">
        <f t="shared" si="5"/>
        <v>0</v>
      </c>
      <c r="J28" s="276">
        <f>H28*F28</f>
        <v>0</v>
      </c>
      <c r="K28" s="282">
        <f>+K13</f>
        <v>0.9</v>
      </c>
      <c r="L28" s="276">
        <f t="shared" si="6"/>
        <v>0</v>
      </c>
      <c r="M28" s="276">
        <f>J28*(1-K28)</f>
        <v>0</v>
      </c>
    </row>
    <row r="29" spans="1:13">
      <c r="A29" s="189">
        <f>A14</f>
        <v>0</v>
      </c>
      <c r="B29" s="258"/>
      <c r="C29" s="277">
        <v>2.2000000000000001E-3</v>
      </c>
      <c r="D29" s="278">
        <f>D14</f>
        <v>0</v>
      </c>
      <c r="E29" s="279">
        <f>E14</f>
        <v>0</v>
      </c>
      <c r="F29" s="280">
        <f t="shared" si="4"/>
        <v>0</v>
      </c>
      <c r="G29" s="281">
        <f>+G14</f>
        <v>0</v>
      </c>
      <c r="H29" s="281">
        <f>+H14</f>
        <v>0</v>
      </c>
      <c r="I29" s="276">
        <f t="shared" si="5"/>
        <v>0</v>
      </c>
      <c r="J29" s="276">
        <f>H29*F29</f>
        <v>0</v>
      </c>
      <c r="K29" s="282">
        <f>+K14</f>
        <v>0.9</v>
      </c>
      <c r="L29" s="276">
        <f t="shared" si="6"/>
        <v>0</v>
      </c>
      <c r="M29" s="276">
        <f>J29*(1-K29)</f>
        <v>0</v>
      </c>
    </row>
    <row r="30" spans="1:13">
      <c r="A30" s="189">
        <f>A15</f>
        <v>0</v>
      </c>
      <c r="B30" s="258"/>
      <c r="C30" s="277">
        <v>2.2000000000000001E-3</v>
      </c>
      <c r="D30" s="278">
        <f>D15</f>
        <v>0</v>
      </c>
      <c r="E30" s="279">
        <f>E15</f>
        <v>0</v>
      </c>
      <c r="F30" s="280">
        <f t="shared" si="4"/>
        <v>0</v>
      </c>
      <c r="G30" s="281">
        <f>+G15</f>
        <v>0</v>
      </c>
      <c r="H30" s="281">
        <f>+H15</f>
        <v>0</v>
      </c>
      <c r="I30" s="276">
        <f t="shared" si="5"/>
        <v>0</v>
      </c>
      <c r="J30" s="276">
        <f>H30*F30</f>
        <v>0</v>
      </c>
      <c r="K30" s="282">
        <f>+K15</f>
        <v>0.9</v>
      </c>
      <c r="L30" s="276">
        <f t="shared" si="6"/>
        <v>0</v>
      </c>
      <c r="M30" s="276">
        <f>J30*(1-K30)</f>
        <v>0</v>
      </c>
    </row>
    <row r="31" spans="1:13" ht="16" customHeight="1">
      <c r="A31" s="219" t="s">
        <v>209</v>
      </c>
      <c r="B31" s="220"/>
      <c r="C31" s="287"/>
      <c r="D31" s="221"/>
      <c r="E31" s="221"/>
      <c r="F31" s="223"/>
      <c r="G31" s="221"/>
      <c r="H31" s="288"/>
      <c r="I31" s="276">
        <f>SUM(I25:I30)</f>
        <v>0</v>
      </c>
      <c r="J31" s="192" t="s">
        <v>249</v>
      </c>
      <c r="K31" s="282">
        <f>+K16</f>
        <v>0.9</v>
      </c>
      <c r="L31" s="276">
        <f>SUM(L25:L30)</f>
        <v>0</v>
      </c>
      <c r="M31" s="192" t="s">
        <v>208</v>
      </c>
    </row>
    <row r="32" spans="1:13">
      <c r="C32" s="254"/>
      <c r="D32" s="254"/>
      <c r="E32" s="254"/>
      <c r="F32" s="255"/>
      <c r="G32" s="255"/>
      <c r="H32" s="255"/>
      <c r="I32" s="255"/>
      <c r="J32" s="255"/>
      <c r="K32" s="263"/>
      <c r="L32" s="255"/>
    </row>
    <row r="33" spans="1:12">
      <c r="A33" s="264" t="s">
        <v>234</v>
      </c>
      <c r="B33" s="265"/>
      <c r="C33" s="265"/>
      <c r="D33" s="265"/>
      <c r="E33" s="254"/>
      <c r="F33" s="255"/>
      <c r="G33" s="255"/>
      <c r="H33" s="255"/>
      <c r="I33" s="255"/>
      <c r="J33" s="255"/>
      <c r="K33" s="263"/>
      <c r="L33" s="255"/>
    </row>
    <row r="34" spans="1:12" ht="18">
      <c r="A34" s="264"/>
      <c r="B34" s="264" t="s">
        <v>237</v>
      </c>
      <c r="C34" s="264"/>
      <c r="D34" s="264"/>
      <c r="K34" s="266"/>
    </row>
    <row r="35" spans="1:12">
      <c r="A35" s="264" t="s">
        <v>178</v>
      </c>
      <c r="B35" s="264" t="s">
        <v>210</v>
      </c>
      <c r="C35" s="264" t="s">
        <v>211</v>
      </c>
      <c r="D35" s="264"/>
    </row>
    <row r="36" spans="1:12" ht="18">
      <c r="A36" s="264"/>
      <c r="B36" s="264"/>
      <c r="C36" s="264" t="s">
        <v>238</v>
      </c>
      <c r="D36" s="264"/>
    </row>
    <row r="37" spans="1:12">
      <c r="A37" s="264"/>
      <c r="B37" s="264"/>
      <c r="C37" s="264" t="s">
        <v>235</v>
      </c>
      <c r="D37" s="264"/>
    </row>
    <row r="38" spans="1:12">
      <c r="A38" s="264"/>
      <c r="B38" s="264"/>
      <c r="C38" s="264" t="s">
        <v>233</v>
      </c>
      <c r="D38" s="264"/>
    </row>
    <row r="40" spans="1:12">
      <c r="A40" s="213" t="s">
        <v>243</v>
      </c>
    </row>
    <row r="41" spans="1:12">
      <c r="A41" s="207" t="s">
        <v>244</v>
      </c>
      <c r="B41" s="208"/>
    </row>
    <row r="42" spans="1:12">
      <c r="A42" s="267"/>
    </row>
    <row r="43" spans="1:12">
      <c r="A43" s="159" t="s">
        <v>114</v>
      </c>
      <c r="B43" s="159"/>
      <c r="C43" s="159"/>
      <c r="D43" s="159"/>
      <c r="E43" s="159"/>
      <c r="F43" s="159"/>
      <c r="G43" s="159"/>
      <c r="H43" s="159"/>
      <c r="I43" s="159"/>
      <c r="J43" s="159"/>
    </row>
    <row r="44" spans="1:12">
      <c r="A44" s="58"/>
      <c r="B44" s="58"/>
      <c r="C44" s="58"/>
      <c r="D44" s="58"/>
      <c r="E44" s="58"/>
      <c r="F44" s="58"/>
      <c r="G44" s="58"/>
      <c r="H44" s="58"/>
      <c r="I44" s="58"/>
      <c r="J44" s="58"/>
    </row>
    <row r="45" spans="1:12">
      <c r="A45" s="90" t="s">
        <v>153</v>
      </c>
      <c r="B45" s="113"/>
      <c r="C45" s="113"/>
      <c r="D45" s="113"/>
      <c r="E45" s="58"/>
      <c r="F45" s="58"/>
      <c r="G45" s="58"/>
      <c r="H45" s="58"/>
      <c r="I45" s="58"/>
      <c r="J45" s="58"/>
    </row>
    <row r="46" spans="1:12">
      <c r="C46" s="283"/>
    </row>
  </sheetData>
  <mergeCells count="20">
    <mergeCell ref="C5:E6"/>
    <mergeCell ref="C20:E21"/>
    <mergeCell ref="A43:J43"/>
    <mergeCell ref="A26:B26"/>
    <mergeCell ref="A27:B27"/>
    <mergeCell ref="A28:B28"/>
    <mergeCell ref="A29:B29"/>
    <mergeCell ref="A30:B30"/>
    <mergeCell ref="A5:B8"/>
    <mergeCell ref="A20:B23"/>
    <mergeCell ref="I5:J5"/>
    <mergeCell ref="A16:B16"/>
    <mergeCell ref="A31:B31"/>
    <mergeCell ref="A10:B10"/>
    <mergeCell ref="A11:B11"/>
    <mergeCell ref="A12:B12"/>
    <mergeCell ref="A13:B13"/>
    <mergeCell ref="A14:B14"/>
    <mergeCell ref="A15:B15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Disclaimer</vt:lpstr>
      <vt:lpstr>PTE Summary</vt:lpstr>
      <vt:lpstr>EU Information</vt:lpstr>
      <vt:lpstr>Welding</vt:lpstr>
      <vt:lpstr>NG</vt:lpstr>
      <vt:lpstr>Diesel</vt:lpstr>
      <vt:lpstr>Refrigerant</vt:lpstr>
      <vt:lpstr>Unpaved Roadways &amp; Parking</vt:lpstr>
      <vt:lpstr>Paved Roadways &amp; Parking</vt:lpstr>
      <vt:lpstr>Storage Piles</vt:lpstr>
      <vt:lpstr>Coatings</vt:lpstr>
      <vt:lpstr>Processes</vt:lpstr>
    </vt:vector>
  </TitlesOfParts>
  <Company>Endlish Enterprises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Endlish</dc:creator>
  <cp:lastModifiedBy>Microsoft Office User</cp:lastModifiedBy>
  <cp:lastPrinted>2020-04-18T16:33:32Z</cp:lastPrinted>
  <dcterms:created xsi:type="dcterms:W3CDTF">2012-02-11T19:31:15Z</dcterms:created>
  <dcterms:modified xsi:type="dcterms:W3CDTF">2021-07-17T20:03:00Z</dcterms:modified>
</cp:coreProperties>
</file>